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3"/>
  <workbookPr showInkAnnotation="0"/>
  <mc:AlternateContent xmlns:mc="http://schemas.openxmlformats.org/markup-compatibility/2006">
    <mc:Choice Requires="x15">
      <x15ac:absPath xmlns:x15ac="http://schemas.microsoft.com/office/spreadsheetml/2010/11/ac" url="/Applications/MAMP/htdocs/building/requirements /"/>
    </mc:Choice>
  </mc:AlternateContent>
  <xr:revisionPtr revIDLastSave="0" documentId="13_ncr:1_{E5097BDF-F7A2-2644-B4B0-1B590C04B7E0}" xr6:coauthVersionLast="45" xr6:coauthVersionMax="45" xr10:uidLastSave="{00000000-0000-0000-0000-000000000000}"/>
  <bookViews>
    <workbookView xWindow="25600" yWindow="460" windowWidth="38400" windowHeight="21140" tabRatio="500" xr2:uid="{00000000-000D-0000-FFFF-FFFF00000000}"/>
  </bookViews>
  <sheets>
    <sheet name="Sheet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98" i="1" l="1"/>
  <c r="I398" i="1"/>
  <c r="H398" i="1"/>
  <c r="G398" i="1"/>
  <c r="F398" i="1"/>
  <c r="E398" i="1"/>
  <c r="D398" i="1"/>
  <c r="G296" i="1"/>
  <c r="G353" i="1"/>
  <c r="H387" i="1" s="1"/>
  <c r="L393" i="1" s="1"/>
  <c r="J397" i="1" s="1"/>
  <c r="L394" i="1"/>
  <c r="K394" i="1"/>
  <c r="J394" i="1"/>
  <c r="I394" i="1"/>
  <c r="H394" i="1"/>
  <c r="G394" i="1"/>
  <c r="F394" i="1"/>
  <c r="E394" i="1"/>
  <c r="D394" i="1"/>
  <c r="B392" i="1"/>
  <c r="H390" i="1"/>
  <c r="G390" i="1"/>
  <c r="E390" i="1"/>
  <c r="F390" i="1"/>
  <c r="D390" i="1"/>
  <c r="H389" i="1"/>
  <c r="G389" i="1"/>
  <c r="E389" i="1"/>
  <c r="F389" i="1"/>
  <c r="D389" i="1"/>
  <c r="H388" i="1"/>
  <c r="G388" i="1"/>
  <c r="E388" i="1"/>
  <c r="F388" i="1" s="1"/>
  <c r="D388" i="1"/>
  <c r="B386" i="1"/>
  <c r="E375" i="1"/>
  <c r="D375" i="1"/>
  <c r="F374" i="1"/>
  <c r="H362" i="1"/>
  <c r="G362" i="1"/>
  <c r="D362" i="1"/>
  <c r="F362" i="1" s="1"/>
  <c r="H360" i="1"/>
  <c r="G360" i="1"/>
  <c r="E360" i="1"/>
  <c r="D360" i="1"/>
  <c r="H358" i="1"/>
  <c r="G358" i="1"/>
  <c r="E358" i="1"/>
  <c r="D358" i="1"/>
  <c r="H356" i="1"/>
  <c r="G356" i="1"/>
  <c r="E356" i="1"/>
  <c r="D356" i="1"/>
  <c r="H354" i="1"/>
  <c r="G354" i="1"/>
  <c r="E354" i="1"/>
  <c r="D354" i="1"/>
  <c r="F341" i="1"/>
  <c r="E341" i="1"/>
  <c r="D341" i="1"/>
  <c r="F339" i="1"/>
  <c r="E339" i="1"/>
  <c r="D339" i="1"/>
  <c r="F337" i="1"/>
  <c r="E337" i="1"/>
  <c r="D337" i="1"/>
  <c r="F335" i="1"/>
  <c r="E335" i="1"/>
  <c r="D335" i="1"/>
  <c r="F333" i="1"/>
  <c r="E333" i="1"/>
  <c r="D333" i="1"/>
  <c r="F331" i="1"/>
  <c r="E331" i="1"/>
  <c r="D331" i="1"/>
  <c r="F329" i="1"/>
  <c r="E329" i="1"/>
  <c r="D329" i="1"/>
  <c r="F327" i="1"/>
  <c r="E327" i="1"/>
  <c r="D327" i="1"/>
  <c r="F325" i="1"/>
  <c r="E325" i="1"/>
  <c r="D325" i="1"/>
  <c r="F323" i="1"/>
  <c r="E323" i="1"/>
  <c r="D323" i="1"/>
  <c r="F321" i="1"/>
  <c r="E321" i="1"/>
  <c r="D321" i="1"/>
  <c r="F319" i="1"/>
  <c r="E319" i="1"/>
  <c r="D319" i="1"/>
  <c r="F317" i="1"/>
  <c r="E317" i="1"/>
  <c r="D317" i="1"/>
  <c r="G305" i="1"/>
  <c r="F305" i="1"/>
  <c r="E305" i="1"/>
  <c r="D305" i="1"/>
  <c r="G303" i="1"/>
  <c r="F303" i="1"/>
  <c r="E303" i="1"/>
  <c r="D303" i="1"/>
  <c r="H299" i="1"/>
  <c r="G299" i="1"/>
  <c r="F299" i="1"/>
  <c r="E299" i="1"/>
  <c r="D299" i="1"/>
  <c r="H297" i="1"/>
  <c r="G297" i="1"/>
  <c r="F297" i="1"/>
  <c r="E297" i="1"/>
  <c r="D297" i="1"/>
  <c r="H284" i="1"/>
  <c r="G284" i="1"/>
  <c r="F284" i="1"/>
  <c r="E284" i="1"/>
  <c r="D284" i="1"/>
  <c r="G282" i="1"/>
  <c r="F282" i="1"/>
  <c r="E282" i="1"/>
  <c r="D282" i="1"/>
  <c r="D269" i="1"/>
  <c r="E269" i="1" s="1"/>
  <c r="D266" i="1"/>
  <c r="H266" i="1"/>
  <c r="G266" i="1"/>
  <c r="F266" i="1"/>
  <c r="E266" i="1"/>
  <c r="D264" i="1"/>
  <c r="H264" i="1" s="1"/>
  <c r="G264" i="1"/>
  <c r="F264" i="1"/>
  <c r="E264" i="1"/>
  <c r="J252" i="1"/>
  <c r="K252" i="1" s="1"/>
  <c r="E252" i="1"/>
  <c r="I249" i="1"/>
  <c r="H249" i="1"/>
  <c r="G249" i="1"/>
  <c r="F249" i="1"/>
  <c r="I247" i="1"/>
  <c r="H247" i="1"/>
  <c r="G247" i="1"/>
  <c r="F247" i="1"/>
  <c r="H241" i="1"/>
  <c r="H243" i="1" s="1"/>
  <c r="H242" i="1"/>
  <c r="G241" i="1"/>
  <c r="G243" i="1" s="1"/>
  <c r="G242" i="1"/>
  <c r="F241" i="1"/>
  <c r="F242" i="1"/>
  <c r="F243" i="1"/>
  <c r="E241" i="1"/>
  <c r="E243" i="1" s="1"/>
  <c r="E242" i="1"/>
  <c r="K241" i="1"/>
  <c r="J241" i="1"/>
  <c r="M237" i="1"/>
  <c r="I237" i="1"/>
  <c r="F237" i="1"/>
  <c r="E237" i="1"/>
  <c r="M235" i="1"/>
  <c r="I235" i="1"/>
  <c r="F235" i="1"/>
  <c r="E235" i="1"/>
  <c r="M233" i="1"/>
  <c r="I233" i="1"/>
  <c r="F233" i="1"/>
  <c r="E233" i="1"/>
  <c r="L231" i="1"/>
  <c r="K231" i="1"/>
  <c r="J231" i="1"/>
  <c r="I231" i="1"/>
  <c r="H231" i="1"/>
  <c r="G231" i="1"/>
  <c r="F231" i="1"/>
  <c r="E231" i="1"/>
  <c r="L229" i="1"/>
  <c r="K229" i="1"/>
  <c r="J229" i="1"/>
  <c r="I229" i="1"/>
  <c r="H229" i="1"/>
  <c r="G229" i="1"/>
  <c r="F229" i="1"/>
  <c r="E229" i="1"/>
  <c r="L227" i="1"/>
  <c r="K227" i="1"/>
  <c r="J227" i="1"/>
  <c r="I227" i="1"/>
  <c r="H227" i="1"/>
  <c r="G227" i="1"/>
  <c r="F227" i="1"/>
  <c r="E227" i="1"/>
  <c r="K223" i="1"/>
  <c r="J223" i="1"/>
  <c r="I223" i="1"/>
  <c r="G223" i="1"/>
  <c r="F223" i="1"/>
  <c r="E223" i="1"/>
  <c r="M222" i="1"/>
  <c r="L222" i="1"/>
  <c r="K222" i="1"/>
  <c r="J222" i="1"/>
  <c r="I222" i="1"/>
  <c r="H222" i="1"/>
  <c r="G222" i="1"/>
  <c r="F222" i="1"/>
  <c r="E222" i="1"/>
  <c r="J218" i="1"/>
  <c r="I218" i="1"/>
  <c r="H218" i="1"/>
  <c r="G218" i="1"/>
  <c r="F218" i="1"/>
  <c r="E218" i="1"/>
  <c r="D218" i="1"/>
  <c r="K216" i="1"/>
  <c r="J216" i="1"/>
  <c r="I216" i="1"/>
  <c r="H216" i="1"/>
  <c r="G216" i="1"/>
  <c r="F216" i="1"/>
  <c r="E216" i="1"/>
  <c r="D216" i="1"/>
  <c r="K212" i="1"/>
  <c r="J212" i="1"/>
  <c r="I212" i="1"/>
  <c r="H212" i="1"/>
  <c r="G212" i="1"/>
  <c r="F212" i="1"/>
  <c r="E212" i="1"/>
  <c r="D212" i="1"/>
  <c r="K210" i="1"/>
  <c r="J210" i="1"/>
  <c r="I210" i="1"/>
  <c r="H210" i="1"/>
  <c r="G210" i="1"/>
  <c r="F210" i="1"/>
  <c r="E210" i="1"/>
  <c r="D210" i="1"/>
  <c r="H183" i="1"/>
  <c r="F183" i="1"/>
  <c r="D181" i="1"/>
  <c r="E181" i="1"/>
  <c r="H181" i="1"/>
  <c r="G181" i="1"/>
  <c r="D179" i="1"/>
  <c r="E179" i="1"/>
  <c r="H179" i="1"/>
  <c r="G179" i="1"/>
  <c r="D177" i="1"/>
  <c r="E177" i="1"/>
  <c r="H177" i="1"/>
  <c r="G177" i="1"/>
  <c r="D175" i="1"/>
  <c r="E175" i="1"/>
  <c r="H175" i="1"/>
  <c r="G175" i="1"/>
  <c r="H174" i="1"/>
  <c r="G174" i="1"/>
  <c r="C174" i="1"/>
  <c r="D171" i="1"/>
  <c r="F171" i="1" s="1"/>
  <c r="D169" i="1"/>
  <c r="E169" i="1" s="1"/>
  <c r="E165" i="1"/>
  <c r="G165" i="1" s="1"/>
  <c r="F165" i="1"/>
  <c r="H165" i="1" s="1"/>
  <c r="E163" i="1"/>
  <c r="G163" i="1" s="1"/>
  <c r="F163" i="1"/>
  <c r="E161" i="1"/>
  <c r="G161" i="1" s="1"/>
  <c r="F161" i="1"/>
  <c r="D157" i="1"/>
  <c r="F157" i="1" s="1"/>
  <c r="E157" i="1"/>
  <c r="G156" i="1"/>
  <c r="F156" i="1"/>
  <c r="C156" i="1"/>
  <c r="D152" i="1"/>
  <c r="E152" i="1"/>
  <c r="G152" i="1" s="1"/>
  <c r="F152" i="1"/>
  <c r="H152" i="1" s="1"/>
  <c r="D150" i="1"/>
  <c r="H150" i="1" s="1"/>
  <c r="E150" i="1"/>
  <c r="G150" i="1" s="1"/>
  <c r="F150" i="1"/>
  <c r="D148" i="1"/>
  <c r="H148" i="1" s="1"/>
  <c r="E148" i="1"/>
  <c r="F148" i="1"/>
  <c r="G148" i="1"/>
  <c r="C146" i="1"/>
  <c r="F130" i="1"/>
  <c r="E130" i="1"/>
  <c r="D130" i="1"/>
  <c r="F129" i="1"/>
  <c r="H118" i="1"/>
  <c r="F118" i="1"/>
  <c r="E118" i="1"/>
  <c r="D118" i="1"/>
  <c r="H116" i="1"/>
  <c r="F116" i="1"/>
  <c r="E116" i="1"/>
  <c r="D116" i="1"/>
  <c r="H114" i="1"/>
  <c r="F114" i="1"/>
  <c r="E114" i="1"/>
  <c r="D114" i="1"/>
  <c r="H112" i="1"/>
  <c r="F112" i="1"/>
  <c r="E112" i="1"/>
  <c r="D112" i="1"/>
  <c r="H110" i="1"/>
  <c r="F110" i="1"/>
  <c r="E110" i="1"/>
  <c r="D110" i="1"/>
  <c r="E94" i="1"/>
  <c r="D89" i="1"/>
  <c r="D86" i="1"/>
  <c r="E86" i="1" s="1"/>
  <c r="D84" i="1"/>
  <c r="F84" i="1"/>
  <c r="E84" i="1"/>
  <c r="D82" i="1"/>
  <c r="F82" i="1"/>
  <c r="E82" i="1"/>
  <c r="D80" i="1"/>
  <c r="F80" i="1" s="1"/>
  <c r="D78" i="1"/>
  <c r="E78" i="1" s="1"/>
  <c r="D76" i="1"/>
  <c r="F76" i="1"/>
  <c r="E76" i="1"/>
  <c r="D74" i="1"/>
  <c r="F74" i="1"/>
  <c r="E74" i="1"/>
  <c r="E64" i="1"/>
  <c r="H60" i="1"/>
  <c r="F60" i="1"/>
  <c r="E60" i="1"/>
  <c r="D60" i="1"/>
  <c r="D55" i="1"/>
  <c r="D53" i="1"/>
  <c r="D49" i="1"/>
  <c r="D47" i="1"/>
  <c r="D45" i="1"/>
  <c r="E37" i="1"/>
  <c r="G33" i="1"/>
  <c r="F33" i="1"/>
  <c r="E33" i="1"/>
  <c r="D33" i="1"/>
  <c r="G31" i="1"/>
  <c r="F31" i="1"/>
  <c r="E31" i="1"/>
  <c r="D31" i="1"/>
  <c r="G29" i="1"/>
  <c r="F29" i="1"/>
  <c r="E29" i="1"/>
  <c r="D29" i="1"/>
  <c r="E22" i="1"/>
  <c r="E20" i="1"/>
  <c r="E18" i="1"/>
  <c r="F14" i="1"/>
  <c r="F12" i="1"/>
  <c r="F78" i="1" l="1"/>
  <c r="F86" i="1"/>
  <c r="G157" i="1"/>
  <c r="H161" i="1"/>
  <c r="H163" i="1"/>
  <c r="F169" i="1"/>
  <c r="E80" i="1"/>
  <c r="E171" i="1"/>
</calcChain>
</file>

<file path=xl/sharedStrings.xml><?xml version="1.0" encoding="utf-8"?>
<sst xmlns="http://schemas.openxmlformats.org/spreadsheetml/2006/main" count="535" uniqueCount="374">
  <si>
    <t>s/n</t>
  </si>
  <si>
    <t xml:space="preserve">Description </t>
  </si>
  <si>
    <t>Clearing ( Labour and Preliminary Item of Work)</t>
  </si>
  <si>
    <t xml:space="preserve">Area of Clearing </t>
  </si>
  <si>
    <t xml:space="preserve">Site Length (m or mm) </t>
  </si>
  <si>
    <t>Site Breadth (m or mm)</t>
  </si>
  <si>
    <t>Edittable Box to insert the individual length and breadth  -------&gt;</t>
  </si>
  <si>
    <t>OR</t>
  </si>
  <si>
    <r>
      <t>Area (m</t>
    </r>
    <r>
      <rPr>
        <vertAlign val="superscript"/>
        <sz val="10"/>
        <rFont val="Century Gothic"/>
      </rPr>
      <t>2</t>
    </r>
    <r>
      <rPr>
        <sz val="10"/>
        <rFont val="Century Gothic"/>
      </rPr>
      <t>)</t>
    </r>
  </si>
  <si>
    <t>Edittable Box to insert the area -------&gt;</t>
  </si>
  <si>
    <t>A</t>
  </si>
  <si>
    <t xml:space="preserve">Manual Clearing </t>
  </si>
  <si>
    <t xml:space="preserve">(I think to input labour quanity or use) </t>
  </si>
  <si>
    <t>Qty/Area</t>
  </si>
  <si>
    <t xml:space="preserve">Unit </t>
  </si>
  <si>
    <t xml:space="preserve">Rate </t>
  </si>
  <si>
    <t xml:space="preserve">Amount </t>
  </si>
  <si>
    <t xml:space="preserve">if Grasses and shrubs </t>
  </si>
  <si>
    <t xml:space="preserve">if Grasses, shrubs and trees </t>
  </si>
  <si>
    <t>m2</t>
  </si>
  <si>
    <t>B</t>
  </si>
  <si>
    <t xml:space="preserve">please let land areas less that 3600m2  inform client to choose manual clearing - excluding thr swampy/ highly waterlogged land area </t>
  </si>
  <si>
    <t>Area of Land (m2)</t>
  </si>
  <si>
    <t xml:space="preserve">Preliminary needed </t>
  </si>
  <si>
    <t xml:space="preserve">No of Days </t>
  </si>
  <si>
    <t xml:space="preserve">Non-water logged/ Stable land </t>
  </si>
  <si>
    <t xml:space="preserve">Bulldozer with tyre( without tracks ) </t>
  </si>
  <si>
    <t>&lt;-- Formulae</t>
  </si>
  <si>
    <t xml:space="preserve">Unstable ground/lightly water logged </t>
  </si>
  <si>
    <t>Bulldozer without Tyre ( with Tracks)</t>
  </si>
  <si>
    <t xml:space="preserve">Swampy/ Highly water logged land </t>
  </si>
  <si>
    <t xml:space="preserve">Swamp buggy </t>
  </si>
  <si>
    <t xml:space="preserve">Setting out ( labour and Material Item of Work) </t>
  </si>
  <si>
    <t>Perimeter of structure (Ground Floor perimeter) (m)</t>
  </si>
  <si>
    <t>Edittable Box to insert the Perimeter or Girth of the Building  -------&gt;</t>
  </si>
  <si>
    <t>Perimeter of structure (Ground Floor perimeter) Meters</t>
  </si>
  <si>
    <t>Pegs  Bundles (20pcs/ bundle) - internal beam</t>
  </si>
  <si>
    <t>Nos of Tie-rod or 12mm x 50mm x 3600mm</t>
  </si>
  <si>
    <t xml:space="preserve">3'' Nail (Kg) </t>
  </si>
  <si>
    <t xml:space="preserve">Rope (yards) </t>
  </si>
  <si>
    <t>What do you generally conclude is the shape of your building?</t>
  </si>
  <si>
    <t xml:space="preserve">Three sided shaped like Triangle, scalene etc. </t>
  </si>
  <si>
    <t>Four Sided shaped like Square, Rectangle, etc</t>
  </si>
  <si>
    <t xml:space="preserve">C </t>
  </si>
  <si>
    <t xml:space="preserve">Circular shaped </t>
  </si>
  <si>
    <t xml:space="preserve">Excavation Works - ( Labour only/ preliminary item work) </t>
  </si>
  <si>
    <t xml:space="preserve">Volume of Excavation - if circular </t>
  </si>
  <si>
    <t>Is your excavation regular, circular or conish ?</t>
  </si>
  <si>
    <t xml:space="preserve">Radius  (m or mm) </t>
  </si>
  <si>
    <t xml:space="preserve">Height ( m or mm) </t>
  </si>
  <si>
    <t xml:space="preserve">formulae of cylinder = 3.142 x r2 x h </t>
  </si>
  <si>
    <t>Edittable Box to insert the individual length/Girth, Width and  Depth of Excavation -------&gt;</t>
  </si>
  <si>
    <t>Volume of Excavation - if square or rectangular</t>
  </si>
  <si>
    <t xml:space="preserve">Length/ Girth (m or mm) </t>
  </si>
  <si>
    <t xml:space="preserve">Width (m or mm) </t>
  </si>
  <si>
    <t xml:space="preserve">Depth (m or mm) </t>
  </si>
  <si>
    <t>Volume (cubic. M/ m3)</t>
  </si>
  <si>
    <t xml:space="preserve">Site work Area </t>
  </si>
  <si>
    <t>Volume of Excavation (m3)</t>
  </si>
  <si>
    <t>1 man Labour output per day</t>
  </si>
  <si>
    <t>Preliminary required</t>
  </si>
  <si>
    <t>Excavation in Very Rocky Areas</t>
  </si>
  <si>
    <t>Excavator with Hydraulic hammer, Jack hammer, Blasting process</t>
  </si>
  <si>
    <t>Excavation in Moderately Rocky Areas ( Hard ground; Mix of stones and sandy matter)</t>
  </si>
  <si>
    <t>Digger and Shovels</t>
  </si>
  <si>
    <t>C</t>
  </si>
  <si>
    <t>Excavation in Non- Rocky Areas (Loose ground)</t>
  </si>
  <si>
    <t>Shovels</t>
  </si>
  <si>
    <t xml:space="preserve">Disposal of excavated material  Dance ( Distance is a major factor) </t>
  </si>
  <si>
    <t>i</t>
  </si>
  <si>
    <t xml:space="preserve">Within 10m to disposal </t>
  </si>
  <si>
    <t xml:space="preserve">wheel barrow, shovel </t>
  </si>
  <si>
    <t>ii</t>
  </si>
  <si>
    <t xml:space="preserve">10-20m to disposal </t>
  </si>
  <si>
    <t xml:space="preserve">Wheel barrow, Shovel </t>
  </si>
  <si>
    <t xml:space="preserve">Shoring to Excavation </t>
  </si>
  <si>
    <t xml:space="preserve">Length to be shored (m) </t>
  </si>
  <si>
    <t xml:space="preserve">Length to be shored </t>
  </si>
  <si>
    <t xml:space="preserve">1" x 12" or 25mm x 300mm x 3600mm wood (nos) </t>
  </si>
  <si>
    <t xml:space="preserve">2" x 2" or 50mm x 50mm x 3600mm wood </t>
  </si>
  <si>
    <t>Nail (kg) 4" &amp; 5"</t>
  </si>
  <si>
    <t xml:space="preserve">Labour required </t>
  </si>
  <si>
    <t>Labour output per day (days)</t>
  </si>
  <si>
    <t xml:space="preserve">Carpenter and labour </t>
  </si>
  <si>
    <t xml:space="preserve">Filling works ( Material, Labour and Preliminary Item of work) </t>
  </si>
  <si>
    <t xml:space="preserve">Volume of Area to be filled - if circular </t>
  </si>
  <si>
    <t>Volume of Filling - if square or rectangular</t>
  </si>
  <si>
    <t xml:space="preserve">Filling Material  </t>
  </si>
  <si>
    <t xml:space="preserve">Volume of Filling (m3) </t>
  </si>
  <si>
    <t xml:space="preserve">No of Tons required ( tons) </t>
  </si>
  <si>
    <t xml:space="preserve">1 man labour output per day (days) within 10m to drop filling material </t>
  </si>
  <si>
    <t>1 man labour output per day (days) within 10-20m to drop filling material</t>
  </si>
  <si>
    <t xml:space="preserve">Preliminary required </t>
  </si>
  <si>
    <t>Filling with sharpsand to be well compacted</t>
  </si>
  <si>
    <t>Wheel barrow, shovel</t>
  </si>
  <si>
    <t>Filling with Filling sand to be well compacted</t>
  </si>
  <si>
    <t>Filling with Laterite filling sand to be well compacted</t>
  </si>
  <si>
    <t xml:space="preserve">Filling with Hardcore to be well compacted </t>
  </si>
  <si>
    <t>Filling with rubbles to be well compacted - Depending on its constituents</t>
  </si>
  <si>
    <t>Wheel barrow, shovel and maybe digger</t>
  </si>
  <si>
    <t>Filling with Stone Base to be well compacted</t>
  </si>
  <si>
    <t>Filling with stone dust to be well compacted</t>
  </si>
  <si>
    <t xml:space="preserve">Spreading </t>
  </si>
  <si>
    <t>Area (m2) - Area (Length and Width from the information inputted for filling Works.</t>
  </si>
  <si>
    <t xml:space="preserve">1 man labour output per day (days) </t>
  </si>
  <si>
    <t xml:space="preserve">Spreading, levelling and compacting of filling material </t>
  </si>
  <si>
    <t>Shovel, Compacting machine, Dumpy/Auto Level</t>
  </si>
  <si>
    <t xml:space="preserve">Concrete/Blinding Works </t>
  </si>
  <si>
    <t xml:space="preserve">Volume of concrete/blinding - if circular </t>
  </si>
  <si>
    <t>Volume of Concrete - if square or rectangular</t>
  </si>
  <si>
    <t>⏟</t>
  </si>
  <si>
    <t xml:space="preserve">Depth/ Average Depth (m or mm) </t>
  </si>
  <si>
    <t>In the case of staircase are casting, ( Volume of concrete for staircase calculation)</t>
  </si>
  <si>
    <t>Any beams (LxWxH) +</t>
  </si>
  <si>
    <t>Waist of the staircase (LxWxH)+</t>
  </si>
  <si>
    <t>Steps - How many nos x (1/2 LxWxH)</t>
  </si>
  <si>
    <t xml:space="preserve">Grade / Mix of Concrete </t>
  </si>
  <si>
    <t xml:space="preserve">Volume </t>
  </si>
  <si>
    <t xml:space="preserve">Cement (bags) </t>
  </si>
  <si>
    <t>Sand (Tons)</t>
  </si>
  <si>
    <t>Granite (Tons)</t>
  </si>
  <si>
    <t>Preliminary Required</t>
  </si>
  <si>
    <t xml:space="preserve">Labour output per m3-  No of persons </t>
  </si>
  <si>
    <t>Grade M7.5 (1:4:8)</t>
  </si>
  <si>
    <t>Water, Shovels, Head Pan,Poker vibrator</t>
  </si>
  <si>
    <t xml:space="preserve">Grade M10 (1:3:6) </t>
  </si>
  <si>
    <t>Grade M15 (1:2:4)</t>
  </si>
  <si>
    <t>Grade M20 (1:1.5:3)</t>
  </si>
  <si>
    <t xml:space="preserve">Grade M25 (1:1:2) </t>
  </si>
  <si>
    <t>Damp proofing works/ Felting Works (Material and Labour )</t>
  </si>
  <si>
    <t xml:space="preserve">Area of Damp Proofing </t>
  </si>
  <si>
    <t xml:space="preserve">Length (m or mm) </t>
  </si>
  <si>
    <t>Breadth (m or mm)</t>
  </si>
  <si>
    <t xml:space="preserve">Material required </t>
  </si>
  <si>
    <t>Area (m2)</t>
  </si>
  <si>
    <t>Guage Polythene (Nylon) (Kg)</t>
  </si>
  <si>
    <t>Bituminous/Cementitious felt  and others (m2)</t>
  </si>
  <si>
    <t xml:space="preserve">Reinforcement/ Iron Bending Works </t>
  </si>
  <si>
    <t>if selected :</t>
  </si>
  <si>
    <t xml:space="preserve">Measurement </t>
  </si>
  <si>
    <t xml:space="preserve">Ground beam </t>
  </si>
  <si>
    <t>Girth / Total Length (m)</t>
  </si>
  <si>
    <t xml:space="preserve">Suspended Beams </t>
  </si>
  <si>
    <t xml:space="preserve">Columns </t>
  </si>
  <si>
    <t>Height (m) x Total No (Nos)</t>
  </si>
  <si>
    <t xml:space="preserve">Slabs </t>
  </si>
  <si>
    <t xml:space="preserve">Area (m2) or Length x Breadth </t>
  </si>
  <si>
    <t xml:space="preserve">Lintels </t>
  </si>
  <si>
    <t>Ground beam (average height of 1m  and width of 0.23m)</t>
  </si>
  <si>
    <t>Ground beam (average height of 1m  and width of 0.23m) area</t>
  </si>
  <si>
    <t>16mm (tons)</t>
  </si>
  <si>
    <t>12mm (tons)</t>
  </si>
  <si>
    <t xml:space="preserve">10mm (tons) </t>
  </si>
  <si>
    <t>Binding Wire (20kg roll)</t>
  </si>
  <si>
    <t xml:space="preserve">Labour requirement </t>
  </si>
  <si>
    <t>In  moderartely swampy without footing area</t>
  </si>
  <si>
    <t xml:space="preserve">In non-swampy Area </t>
  </si>
  <si>
    <t>In Moderately Swampy with Footing (500mm Width) area</t>
  </si>
  <si>
    <t>Suspended Beams ( Average height 0.30m and width of 0.23)</t>
  </si>
  <si>
    <t xml:space="preserve">Suspended Beam </t>
  </si>
  <si>
    <t xml:space="preserve">10mm tons </t>
  </si>
  <si>
    <t xml:space="preserve">Column Size </t>
  </si>
  <si>
    <t>Height (m)</t>
  </si>
  <si>
    <t>Nos of column (m)</t>
  </si>
  <si>
    <t>10mm(tons)</t>
  </si>
  <si>
    <t>Binding wire (20kg/roll)</t>
  </si>
  <si>
    <t>225mm x 225mm</t>
  </si>
  <si>
    <t xml:space="preserve">225mm x 450mm </t>
  </si>
  <si>
    <t>450mm x 450mm</t>
  </si>
  <si>
    <t>Slabs/ Suspended slabs</t>
  </si>
  <si>
    <t xml:space="preserve">Size of slab </t>
  </si>
  <si>
    <t xml:space="preserve">Slab with an average thickness of 150mm </t>
  </si>
  <si>
    <t>Slab with an average thickness of 200mm</t>
  </si>
  <si>
    <t>Lintels</t>
  </si>
  <si>
    <t>Lintel approach and size</t>
  </si>
  <si>
    <t>Angle Iron (Length m)</t>
  </si>
  <si>
    <t xml:space="preserve">In-situ casted (width 225mm) </t>
  </si>
  <si>
    <t>In-situ casted (width 150mm)</t>
  </si>
  <si>
    <t>Precast Lintel (width 225mm)</t>
  </si>
  <si>
    <t>Precast Lintel (width 150mm)</t>
  </si>
  <si>
    <t>Angle Iron</t>
  </si>
  <si>
    <t xml:space="preserve">Formwork </t>
  </si>
  <si>
    <t xml:space="preserve">if selected: </t>
  </si>
  <si>
    <t>Ground beam and Beams Formwork if height is greater that 300mm (m2)</t>
  </si>
  <si>
    <t>Area of Formwork Height/Breadth &gt; 300mm</t>
  </si>
  <si>
    <t xml:space="preserve">If columns </t>
  </si>
  <si>
    <t xml:space="preserve">Area = (Perimeter x Height ) X Total Nos of Columns </t>
  </si>
  <si>
    <t xml:space="preserve">If  Staircase </t>
  </si>
  <si>
    <t>Area of Sloping Soffit of staircase Flight - L x B + Area of sides and soffit of any beams L x B +  Area of Soffit of Landing L x B</t>
  </si>
  <si>
    <t xml:space="preserve">and </t>
  </si>
  <si>
    <t>Length of  sloping sides of staircase flight + (Width of steps x Total nos of Steps )</t>
  </si>
  <si>
    <t xml:space="preserve">If Lintel </t>
  </si>
  <si>
    <t xml:space="preserve">Width of opening  L x Total Number of openings) </t>
  </si>
  <si>
    <t xml:space="preserve">if selected Fomwork to slab </t>
  </si>
  <si>
    <t xml:space="preserve">If Slabs </t>
  </si>
  <si>
    <t xml:space="preserve">Area = Length (m) x breadth (m) of Area. </t>
  </si>
  <si>
    <t xml:space="preserve">Formwork to sides of slab </t>
  </si>
  <si>
    <t xml:space="preserve">Perimeter - Total length of all sides </t>
  </si>
  <si>
    <t xml:space="preserve">Ground Beam </t>
  </si>
  <si>
    <t xml:space="preserve">Area of Work </t>
  </si>
  <si>
    <t>Area of formwork (m2)</t>
  </si>
  <si>
    <t xml:space="preserve">Marine Board (nos) </t>
  </si>
  <si>
    <t xml:space="preserve"> 1 x 12 wood (nos) </t>
  </si>
  <si>
    <t>2x3 wood (nos)</t>
  </si>
  <si>
    <t>Pegs (1m high) bundles</t>
  </si>
  <si>
    <t xml:space="preserve">Nails (kg) 4" and 5" size (kg) </t>
  </si>
  <si>
    <t>Binding Wire (roll)</t>
  </si>
  <si>
    <t xml:space="preserve">labour requirement (per m2) </t>
  </si>
  <si>
    <t>1 Carpenter and Labour output per day (days)</t>
  </si>
  <si>
    <t xml:space="preserve">Ground Beam upstands </t>
  </si>
  <si>
    <t xml:space="preserve">Ground Beam footings  av. Height 300mm </t>
  </si>
  <si>
    <t xml:space="preserve">2x3 wood (nos) </t>
  </si>
  <si>
    <t>2x4 wood (nos)</t>
  </si>
  <si>
    <t xml:space="preserve">Nails (kg) 3", 4" and 5" size (kg) </t>
  </si>
  <si>
    <t>labour requirement (per m) - Total length inputed before calculation stage should be used to multiply 18/15</t>
  </si>
  <si>
    <t>1 Carpenter and Labour output per day</t>
  </si>
  <si>
    <t xml:space="preserve">Acro props/ bamboo (nos) </t>
  </si>
  <si>
    <t>Suspended beams in framed structure av. Height 300mm</t>
  </si>
  <si>
    <t>Suspended beams in unframed structures av. Height 300mm</t>
  </si>
  <si>
    <t>Slab</t>
  </si>
  <si>
    <t xml:space="preserve">Perimeter of slab (m) </t>
  </si>
  <si>
    <t>2x3 wood (nos)  @400mm c/c</t>
  </si>
  <si>
    <t>2x4 wood (nos)  @ 600mm c/c</t>
  </si>
  <si>
    <t>Acro props (nos0</t>
  </si>
  <si>
    <t xml:space="preserve">Bamboo </t>
  </si>
  <si>
    <t>Slabs</t>
  </si>
  <si>
    <t>-</t>
  </si>
  <si>
    <t xml:space="preserve">Sides of slab </t>
  </si>
  <si>
    <t>Column Size</t>
  </si>
  <si>
    <t xml:space="preserve">Nos of columns </t>
  </si>
  <si>
    <t xml:space="preserve">Column boxes </t>
  </si>
  <si>
    <t xml:space="preserve">2x3 wood (nos)  to form </t>
  </si>
  <si>
    <t xml:space="preserve">Nails (kg)  4" and 5" size (kg) </t>
  </si>
  <si>
    <t>labour requirement (per column)</t>
  </si>
  <si>
    <t>2x6 wood or 50mm x 200mm wood (nos)  for shoring</t>
  </si>
  <si>
    <t>Binding Wire</t>
  </si>
  <si>
    <t>225mm x 225mm in framed structure</t>
  </si>
  <si>
    <t>225mm x 450mm in framed structure</t>
  </si>
  <si>
    <t>450mm x 450mm in framed structure</t>
  </si>
  <si>
    <t>225mm x 225mm in unframed structure</t>
  </si>
  <si>
    <t>225mm x 450mm in unframed structure</t>
  </si>
  <si>
    <t>450mm x 450mm in unframed structure</t>
  </si>
  <si>
    <t xml:space="preserve">Staircase </t>
  </si>
  <si>
    <t>Total Length Inputted</t>
  </si>
  <si>
    <t xml:space="preserve">2x3 wood (nos)  </t>
  </si>
  <si>
    <t xml:space="preserve">labour requirement Floor to Floor </t>
  </si>
  <si>
    <t xml:space="preserve">Acro props </t>
  </si>
  <si>
    <t xml:space="preserve">Soffit of Beams, Flights and Landing </t>
  </si>
  <si>
    <t xml:space="preserve">Sides of Flights and steps </t>
  </si>
  <si>
    <t xml:space="preserve">Total </t>
  </si>
  <si>
    <t xml:space="preserve">Lintel </t>
  </si>
  <si>
    <t>Lintel Size</t>
  </si>
  <si>
    <t>Width of opening (m)</t>
  </si>
  <si>
    <t>Total Nos (Nos)</t>
  </si>
  <si>
    <t>Total Length (m)</t>
  </si>
  <si>
    <t xml:space="preserve">Nails (kg)  3" and 4" size (kg) </t>
  </si>
  <si>
    <t>labour requirement (per m2)</t>
  </si>
  <si>
    <t>2x3wood or 50mm x 75mm wood (nos)  for sides</t>
  </si>
  <si>
    <t>Cast in situ 225mm wall</t>
  </si>
  <si>
    <t>Cast in-situ 150mm Wall</t>
  </si>
  <si>
    <t xml:space="preserve">if precast </t>
  </si>
  <si>
    <t xml:space="preserve">Precast Lintel </t>
  </si>
  <si>
    <t>Blockwork and Hollow Claypot</t>
  </si>
  <si>
    <t>Area of Block work / Hollow Claypot area</t>
  </si>
  <si>
    <t xml:space="preserve">Blockwork size </t>
  </si>
  <si>
    <t xml:space="preserve">Area (m2) </t>
  </si>
  <si>
    <t xml:space="preserve">Block quantity (Nos)  </t>
  </si>
  <si>
    <t xml:space="preserve">Cement qty (bags) </t>
  </si>
  <si>
    <t xml:space="preserve">Sand quantity (tons) </t>
  </si>
  <si>
    <t>1 Beicklayer and 1 Labour output per day (days)</t>
  </si>
  <si>
    <t>225mm sized Blockwork (9")</t>
  </si>
  <si>
    <t>150mm sized Blockwork (6")</t>
  </si>
  <si>
    <t>Claypot size</t>
  </si>
  <si>
    <t xml:space="preserve">Pot quanity  (Nos)  </t>
  </si>
  <si>
    <t>labour requirement (per pot )</t>
  </si>
  <si>
    <t xml:space="preserve">457mm x 205mm Hollow Clay Pot </t>
  </si>
  <si>
    <t>Plastering Works / Backing works to recieve wall tiles</t>
  </si>
  <si>
    <t xml:space="preserve">Area of Plastering </t>
  </si>
  <si>
    <t>Mix ratio</t>
  </si>
  <si>
    <t>1:3 Mix ratio</t>
  </si>
  <si>
    <t xml:space="preserve">Headpans, Shovels and standing platform </t>
  </si>
  <si>
    <t>1:4 Mix ratio</t>
  </si>
  <si>
    <t xml:space="preserve">Screeding Works </t>
  </si>
  <si>
    <t>Area of Screeding</t>
  </si>
  <si>
    <t xml:space="preserve">Wall Screeding </t>
  </si>
  <si>
    <t xml:space="preserve">Status of wall </t>
  </si>
  <si>
    <t>Area(m2)</t>
  </si>
  <si>
    <t>Cement (bags)</t>
  </si>
  <si>
    <t>Screeding paint  (20ltr bucket)</t>
  </si>
  <si>
    <t>Top bond (kg)</t>
  </si>
  <si>
    <t>1 Screeder output per day (days)</t>
  </si>
  <si>
    <t xml:space="preserve">Smooth Wall </t>
  </si>
  <si>
    <t>Standing platform, bucket</t>
  </si>
  <si>
    <t xml:space="preserve">Rough wall </t>
  </si>
  <si>
    <t>Floor Screeding</t>
  </si>
  <si>
    <t>Floor Screeding Mix Ratio</t>
  </si>
  <si>
    <t>1 tiler and 1 Labour output per day (days)</t>
  </si>
  <si>
    <t>preliminary needed</t>
  </si>
  <si>
    <t>Headpans, Shovels</t>
  </si>
  <si>
    <t>1:6 Mix ratio</t>
  </si>
  <si>
    <t xml:space="preserve">Painting Works </t>
  </si>
  <si>
    <t>Area of Painting</t>
  </si>
  <si>
    <t xml:space="preserve">Painting </t>
  </si>
  <si>
    <t xml:space="preserve">Type of paint &amp; No of coats </t>
  </si>
  <si>
    <t xml:space="preserve">Paint (ltrs) </t>
  </si>
  <si>
    <t>Painter requirement (per m2)</t>
  </si>
  <si>
    <t>1 painter output per day (days)</t>
  </si>
  <si>
    <t xml:space="preserve">Primer </t>
  </si>
  <si>
    <t xml:space="preserve">Wall fillers, water &amp; Standing platform </t>
  </si>
  <si>
    <t xml:space="preserve">Satin/Silk paint - One coat </t>
  </si>
  <si>
    <t xml:space="preserve">Wall fillers, Standing platform </t>
  </si>
  <si>
    <t xml:space="preserve">Satin/Silk paint -Two coats </t>
  </si>
  <si>
    <t xml:space="preserve">Satin/Silk paint - Three coats </t>
  </si>
  <si>
    <t xml:space="preserve">Emulsion - One coat </t>
  </si>
  <si>
    <t xml:space="preserve">Emulsion - Two coats </t>
  </si>
  <si>
    <t xml:space="preserve">Emulsion - Three coats </t>
  </si>
  <si>
    <t xml:space="preserve">Textcoat paint - One Coat </t>
  </si>
  <si>
    <t xml:space="preserve">Textcoat paint - Two Coats </t>
  </si>
  <si>
    <t xml:space="preserve">Textcoat paint - Three Coats </t>
  </si>
  <si>
    <t xml:space="preserve">Gloss paint - One coat </t>
  </si>
  <si>
    <t>Wall fillers, Standing Platform and Thinner (in some cases)</t>
  </si>
  <si>
    <t xml:space="preserve">Gloss paint - Two coats </t>
  </si>
  <si>
    <t>Tiling works/ Granite Slab/Facing bricks</t>
  </si>
  <si>
    <t xml:space="preserve">Area of Tiling </t>
  </si>
  <si>
    <t xml:space="preserve">Tiling/ Granite Slab/ Facing Bricks </t>
  </si>
  <si>
    <t xml:space="preserve">Finish </t>
  </si>
  <si>
    <t xml:space="preserve">Material qty (m2) </t>
  </si>
  <si>
    <t xml:space="preserve">Glue/Gum (ltrs) </t>
  </si>
  <si>
    <t>1 installer and labour output per day(days)</t>
  </si>
  <si>
    <t xml:space="preserve">Wall Tiles </t>
  </si>
  <si>
    <t>Headpans, Shovels &amp; Spacers</t>
  </si>
  <si>
    <t xml:space="preserve">Floor Tiles </t>
  </si>
  <si>
    <t xml:space="preserve">Granite Slab </t>
  </si>
  <si>
    <t>Headpans &amp; Shovels</t>
  </si>
  <si>
    <t xml:space="preserve">Facing Bricks </t>
  </si>
  <si>
    <t xml:space="preserve">Parquet/wooden floor </t>
  </si>
  <si>
    <t>Spacers</t>
  </si>
  <si>
    <t xml:space="preserve">Paving Works </t>
  </si>
  <si>
    <t xml:space="preserve"> </t>
  </si>
  <si>
    <t xml:space="preserve">Area of Paving </t>
  </si>
  <si>
    <t xml:space="preserve">Paving works </t>
  </si>
  <si>
    <t xml:space="preserve">Nylon (kg) </t>
  </si>
  <si>
    <t>Any size, strength or shape</t>
  </si>
  <si>
    <t>Ceiling Works</t>
  </si>
  <si>
    <t xml:space="preserve">Ceiling Works </t>
  </si>
  <si>
    <t xml:space="preserve">Suspended Ceiling (Plaster Board) </t>
  </si>
  <si>
    <t>Material qty (Nos)</t>
  </si>
  <si>
    <t>3mm Stud 3m/length (lengths)</t>
  </si>
  <si>
    <t>Threaded rods (nos)</t>
  </si>
  <si>
    <t>Wall Angles 2.5m/length (lengths)</t>
  </si>
  <si>
    <t>3m x 1.2m x 12mm or 10mm</t>
  </si>
  <si>
    <t xml:space="preserve">Standing platform, tools </t>
  </si>
  <si>
    <t>2.4m x 1.2m x 12mm or 10mm</t>
  </si>
  <si>
    <t>2.5m x 1.2m x 12mm or 10mm</t>
  </si>
  <si>
    <t xml:space="preserve">Suspended ceiling (60x 60cm) with steel runners </t>
  </si>
  <si>
    <t>Suspension wire (coil)</t>
  </si>
  <si>
    <t>Main runner 3.6m/length (length)</t>
  </si>
  <si>
    <t>Wall angle 3m/Length (Lengths)</t>
  </si>
  <si>
    <t>4ft cross tee grid (pcs)</t>
  </si>
  <si>
    <t>2ft cross tee grid (pcs)</t>
  </si>
  <si>
    <t>Anchor Nail (nos)</t>
  </si>
  <si>
    <t>Nail  (Kg)</t>
  </si>
  <si>
    <t>60 x 60cm Boards (Acoustic Mineral fiber/laminated boards)</t>
  </si>
  <si>
    <t>Suspended Ceiling (Casting)</t>
  </si>
  <si>
    <t>Suspended Ceiling (casting)</t>
  </si>
  <si>
    <t>POP cement 25kg Bags (bags)</t>
  </si>
  <si>
    <t>Fillers (kg)</t>
  </si>
  <si>
    <t>Groundnut oil (ltrs)</t>
  </si>
  <si>
    <t>Eva soap (nos of Bar)</t>
  </si>
  <si>
    <t xml:space="preserve">Binding wire (20kg rolls) </t>
  </si>
  <si>
    <t>Tornado Nails (4" pkts)</t>
  </si>
  <si>
    <t xml:space="preserve">Ceiling works </t>
  </si>
  <si>
    <r>
      <rPr>
        <b/>
        <sz val="16"/>
        <rFont val="Century Gothic"/>
        <family val="1"/>
      </rPr>
      <t>Mechanical Clearing</t>
    </r>
    <r>
      <rPr>
        <sz val="16"/>
        <rFont val="Century Gothic"/>
        <family val="1"/>
      </rPr>
      <t xml:space="preserve"> (to be used only for land size greater than 3600m2 or 6 plots - for the swampy/ highly water logged land, users may choose less than 3600m2 but above 2400m2 or 4plots ) </t>
    </r>
  </si>
  <si>
    <r>
      <t>m</t>
    </r>
    <r>
      <rPr>
        <vertAlign val="superscript"/>
        <sz val="16"/>
        <rFont val="Century Gothic"/>
        <family val="1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</si>
</sst>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N_-;\-* #,##0.00\ _N_-;_-* &quot;-&quot;??\ _N_-;_-@_-"/>
    <numFmt numFmtId="165" formatCode="_-* #,##0.00000\ _N_-;\-* #,##0.00000\ _N_-;_-* &quot;-&quot;??\ _N_-;_-@_-"/>
  </numFmts>
  <fonts count="12" x14ac:knownFonts="1">
    <font>
      <sz val="12"/>
      <color theme="1"/>
      <name val="Calibri"/>
      <family val="2"/>
      <scheme val="minor"/>
    </font>
    <font>
      <sz val="10"/>
      <name val="Arial"/>
    </font>
    <font>
      <sz val="10"/>
      <name val="Century Gothic"/>
    </font>
    <font>
      <b/>
      <sz val="10"/>
      <name val="Century Gothic"/>
    </font>
    <font>
      <u val="double"/>
      <sz val="10"/>
      <name val="Century Gothic"/>
    </font>
    <font>
      <vertAlign val="superscript"/>
      <sz val="10"/>
      <name val="Century Gothic"/>
    </font>
    <font>
      <sz val="11"/>
      <color theme="1"/>
      <name val="Calibri"/>
      <family val="2"/>
      <scheme val="minor"/>
    </font>
    <font>
      <sz val="16"/>
      <name val="Century Gothic"/>
      <family val="1"/>
    </font>
    <font>
      <b/>
      <sz val="16"/>
      <name val="Century Gothic"/>
      <family val="1"/>
    </font>
    <font>
      <sz val="16"/>
      <color rgb="FFFF0000"/>
      <name val="Century Gothic"/>
      <family val="1"/>
    </font>
    <font>
      <vertAlign val="superscript"/>
      <sz val="16"/>
      <name val="Century Gothic"/>
      <family val="1"/>
    </font>
    <font>
      <b/>
      <u val="double"/>
      <sz val="16"/>
      <name val="Century Gothic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9" tint="0.599963377788628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</cellStyleXfs>
  <cellXfs count="47">
    <xf numFmtId="0" fontId="0" fillId="0" borderId="0" xfId="0"/>
    <xf numFmtId="164" fontId="2" fillId="0" borderId="0" xfId="1" applyFont="1" applyAlignment="1">
      <alignment horizontal="center"/>
    </xf>
    <xf numFmtId="164" fontId="2" fillId="0" borderId="0" xfId="1" applyFont="1"/>
    <xf numFmtId="164" fontId="2" fillId="0" borderId="0" xfId="1" applyFont="1" applyAlignment="1">
      <alignment horizontal="center" wrapText="1"/>
    </xf>
    <xf numFmtId="164" fontId="2" fillId="0" borderId="0" xfId="1" applyFont="1" applyAlignment="1">
      <alignment wrapText="1"/>
    </xf>
    <xf numFmtId="164" fontId="2" fillId="0" borderId="2" xfId="1" applyFont="1" applyBorder="1" applyAlignment="1">
      <alignment horizontal="center"/>
    </xf>
    <xf numFmtId="164" fontId="2" fillId="0" borderId="3" xfId="1" applyFont="1" applyBorder="1" applyAlignment="1">
      <alignment horizontal="center"/>
    </xf>
    <xf numFmtId="164" fontId="3" fillId="0" borderId="0" xfId="1" applyFont="1" applyAlignment="1">
      <alignment horizontal="center"/>
    </xf>
    <xf numFmtId="164" fontId="2" fillId="0" borderId="0" xfId="1" applyFont="1" applyAlignment="1">
      <alignment horizontal="center"/>
    </xf>
    <xf numFmtId="164" fontId="4" fillId="0" borderId="0" xfId="1" applyFont="1" applyAlignment="1">
      <alignment horizontal="center"/>
    </xf>
    <xf numFmtId="164" fontId="2" fillId="0" borderId="1" xfId="1" applyFont="1" applyBorder="1" applyAlignment="1">
      <alignment horizontal="center"/>
    </xf>
    <xf numFmtId="164" fontId="7" fillId="0" borderId="0" xfId="1" applyFont="1" applyAlignment="1">
      <alignment horizontal="center"/>
    </xf>
    <xf numFmtId="164" fontId="7" fillId="0" borderId="0" xfId="1" applyFont="1"/>
    <xf numFmtId="164" fontId="7" fillId="0" borderId="0" xfId="1" applyFont="1" applyAlignment="1">
      <alignment wrapText="1"/>
    </xf>
    <xf numFmtId="164" fontId="7" fillId="0" borderId="0" xfId="1" applyFont="1" applyAlignment="1">
      <alignment horizontal="center" wrapText="1"/>
    </xf>
    <xf numFmtId="164" fontId="8" fillId="0" borderId="0" xfId="1" applyFont="1"/>
    <xf numFmtId="164" fontId="9" fillId="0" borderId="0" xfId="1" applyFont="1" applyAlignment="1">
      <alignment horizontal="right"/>
    </xf>
    <xf numFmtId="164" fontId="7" fillId="0" borderId="0" xfId="1" applyFont="1" applyAlignment="1">
      <alignment horizontal="left" indent="2"/>
    </xf>
    <xf numFmtId="164" fontId="7" fillId="0" borderId="0" xfId="1" applyFont="1" applyAlignment="1">
      <alignment horizontal="left" indent="4"/>
    </xf>
    <xf numFmtId="164" fontId="7" fillId="0" borderId="0" xfId="1" applyFont="1" applyAlignment="1">
      <alignment horizontal="left" wrapText="1" indent="2"/>
    </xf>
    <xf numFmtId="164" fontId="9" fillId="0" borderId="0" xfId="1" applyFont="1" applyAlignment="1">
      <alignment horizontal="left" wrapText="1" indent="2"/>
    </xf>
    <xf numFmtId="164" fontId="8" fillId="0" borderId="0" xfId="1" applyFont="1" applyAlignment="1">
      <alignment horizontal="center"/>
    </xf>
    <xf numFmtId="164" fontId="8" fillId="0" borderId="0" xfId="1" applyFont="1" applyAlignment="1">
      <alignment horizontal="left"/>
    </xf>
    <xf numFmtId="164" fontId="9" fillId="0" borderId="0" xfId="1" applyFont="1"/>
    <xf numFmtId="164" fontId="7" fillId="0" borderId="1" xfId="1" applyFont="1" applyBorder="1"/>
    <xf numFmtId="164" fontId="7" fillId="2" borderId="0" xfId="1" applyFont="1" applyFill="1"/>
    <xf numFmtId="164" fontId="7" fillId="0" borderId="0" xfId="1" applyFont="1" applyBorder="1" applyAlignment="1">
      <alignment horizontal="center" wrapText="1"/>
    </xf>
    <xf numFmtId="164" fontId="7" fillId="2" borderId="0" xfId="1" applyNumberFormat="1" applyFont="1" applyFill="1"/>
    <xf numFmtId="164" fontId="7" fillId="0" borderId="0" xfId="1" applyFont="1" applyAlignment="1"/>
    <xf numFmtId="164" fontId="7" fillId="0" borderId="4" xfId="1" applyFont="1" applyBorder="1" applyAlignment="1">
      <alignment horizontal="center"/>
    </xf>
    <xf numFmtId="164" fontId="7" fillId="0" borderId="1" xfId="1" applyFont="1" applyBorder="1" applyAlignment="1"/>
    <xf numFmtId="164" fontId="7" fillId="0" borderId="0" xfId="1" applyFont="1" applyBorder="1" applyAlignment="1">
      <alignment horizontal="center"/>
    </xf>
    <xf numFmtId="164" fontId="7" fillId="0" borderId="0" xfId="1" applyFont="1" applyFill="1"/>
    <xf numFmtId="164" fontId="7" fillId="2" borderId="0" xfId="1" applyFont="1" applyFill="1" applyAlignment="1">
      <alignment horizontal="center"/>
    </xf>
    <xf numFmtId="164" fontId="7" fillId="0" borderId="0" xfId="1" applyNumberFormat="1" applyFont="1"/>
    <xf numFmtId="164" fontId="11" fillId="0" borderId="0" xfId="1" applyFont="1" applyAlignment="1">
      <alignment horizontal="center"/>
    </xf>
    <xf numFmtId="164" fontId="7" fillId="0" borderId="0" xfId="1" applyFont="1" applyBorder="1"/>
    <xf numFmtId="164" fontId="7" fillId="0" borderId="1" xfId="1" applyFont="1" applyBorder="1" applyAlignment="1">
      <alignment horizontal="center" wrapText="1"/>
    </xf>
    <xf numFmtId="164" fontId="7" fillId="3" borderId="0" xfId="1" applyFont="1" applyFill="1"/>
    <xf numFmtId="165" fontId="7" fillId="0" borderId="0" xfId="1" applyNumberFormat="1" applyFont="1"/>
    <xf numFmtId="164" fontId="7" fillId="4" borderId="0" xfId="1" applyFont="1" applyFill="1"/>
    <xf numFmtId="164" fontId="7" fillId="0" borderId="1" xfId="1" applyFont="1" applyBorder="1" applyAlignment="1">
      <alignment horizontal="center"/>
    </xf>
    <xf numFmtId="164" fontId="7" fillId="0" borderId="0" xfId="1" applyFont="1" applyFill="1" applyAlignment="1">
      <alignment horizontal="center" wrapText="1"/>
    </xf>
    <xf numFmtId="164" fontId="7" fillId="0" borderId="0" xfId="1" applyFont="1" applyAlignment="1">
      <alignment horizontal="left"/>
    </xf>
    <xf numFmtId="164" fontId="7" fillId="0" borderId="0" xfId="1" applyFont="1" applyAlignment="1">
      <alignment horizontal="center"/>
    </xf>
    <xf numFmtId="164" fontId="8" fillId="0" borderId="0" xfId="1" applyFont="1" applyAlignment="1">
      <alignment horizontal="center"/>
    </xf>
    <xf numFmtId="164" fontId="9" fillId="0" borderId="0" xfId="1" applyFont="1" applyAlignment="1">
      <alignment horizontal="center" wrapText="1"/>
    </xf>
  </cellXfs>
  <cellStyles count="6">
    <cellStyle name="Comma" xfId="1" builtinId="3"/>
    <cellStyle name="Comma 3" xfId="2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  <cellStyle name="Normal 4" xfId="5" xr:uid="{00000000-0005-0000-0000-000005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687276</xdr:colOff>
      <xdr:row>105</xdr:row>
      <xdr:rowOff>140881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742376" y="2209918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8"/>
  <sheetViews>
    <sheetView tabSelected="1" zoomScale="70" zoomScaleNormal="80" zoomScalePageLayoutView="80" workbookViewId="0">
      <selection activeCell="M17" sqref="M17"/>
    </sheetView>
  </sheetViews>
  <sheetFormatPr baseColWidth="10" defaultRowHeight="21" x14ac:dyDescent="0.25"/>
  <cols>
    <col min="1" max="1" width="8.83203125" style="12" customWidth="1"/>
    <col min="2" max="2" width="68.33203125" style="12" customWidth="1"/>
    <col min="3" max="4" width="20.83203125" style="12" customWidth="1"/>
    <col min="5" max="6" width="18.33203125" style="12" customWidth="1"/>
    <col min="7" max="7" width="22.33203125" style="12" customWidth="1"/>
    <col min="8" max="8" width="18.33203125" style="12" customWidth="1"/>
    <col min="9" max="9" width="22" style="12" customWidth="1"/>
    <col min="10" max="10" width="17.6640625" style="2" customWidth="1"/>
    <col min="11" max="11" width="19.33203125" style="2" customWidth="1"/>
    <col min="12" max="12" width="20" style="2" customWidth="1"/>
    <col min="13" max="13" width="16.83203125" style="2" customWidth="1"/>
    <col min="14" max="16384" width="10.83203125" style="2"/>
  </cols>
  <sheetData>
    <row r="1" spans="1:9" s="1" customFormat="1" x14ac:dyDescent="0.25">
      <c r="A1" s="11" t="s">
        <v>0</v>
      </c>
      <c r="B1" s="11" t="s">
        <v>1</v>
      </c>
      <c r="C1" s="11"/>
      <c r="D1" s="11"/>
      <c r="E1" s="11"/>
      <c r="F1" s="11"/>
      <c r="G1" s="11"/>
      <c r="H1" s="11"/>
      <c r="I1" s="11"/>
    </row>
    <row r="3" spans="1:9" x14ac:dyDescent="0.25">
      <c r="A3" s="12">
        <v>1</v>
      </c>
      <c r="B3" s="15" t="s">
        <v>2</v>
      </c>
      <c r="C3" s="7" t="s">
        <v>3</v>
      </c>
      <c r="D3" s="7"/>
    </row>
    <row r="4" spans="1:9" x14ac:dyDescent="0.25">
      <c r="C4" s="12" t="s">
        <v>4</v>
      </c>
      <c r="D4" s="12" t="s">
        <v>5</v>
      </c>
    </row>
    <row r="5" spans="1:9" x14ac:dyDescent="0.25">
      <c r="B5" s="16" t="s">
        <v>6</v>
      </c>
      <c r="C5" s="24"/>
      <c r="D5" s="24"/>
    </row>
    <row r="6" spans="1:9" x14ac:dyDescent="0.25">
      <c r="C6" s="9" t="s">
        <v>7</v>
      </c>
      <c r="D6" s="8"/>
    </row>
    <row r="7" spans="1:9" x14ac:dyDescent="0.25">
      <c r="C7" s="8" t="s">
        <v>8</v>
      </c>
      <c r="D7" s="8"/>
    </row>
    <row r="8" spans="1:9" x14ac:dyDescent="0.25">
      <c r="B8" s="16" t="s">
        <v>9</v>
      </c>
      <c r="C8" s="5"/>
      <c r="D8" s="6"/>
    </row>
    <row r="9" spans="1:9" x14ac:dyDescent="0.25">
      <c r="A9" s="11"/>
    </row>
    <row r="10" spans="1:9" x14ac:dyDescent="0.25">
      <c r="A10" s="11" t="s">
        <v>10</v>
      </c>
      <c r="B10" s="17" t="s">
        <v>11</v>
      </c>
    </row>
    <row r="11" spans="1:9" x14ac:dyDescent="0.25">
      <c r="A11" s="11"/>
      <c r="B11" s="17" t="s">
        <v>12</v>
      </c>
      <c r="C11" s="12" t="s">
        <v>13</v>
      </c>
      <c r="D11" s="12" t="s">
        <v>14</v>
      </c>
      <c r="E11" s="12" t="s">
        <v>15</v>
      </c>
      <c r="F11" s="12" t="s">
        <v>16</v>
      </c>
    </row>
    <row r="12" spans="1:9" ht="24" x14ac:dyDescent="0.25">
      <c r="A12" s="11"/>
      <c r="B12" s="18" t="s">
        <v>17</v>
      </c>
      <c r="C12" s="25">
        <v>1</v>
      </c>
      <c r="D12" s="12" t="s">
        <v>373</v>
      </c>
      <c r="E12" s="38">
        <v>28</v>
      </c>
      <c r="F12" s="40">
        <f>E12*C12</f>
        <v>28</v>
      </c>
    </row>
    <row r="13" spans="1:9" x14ac:dyDescent="0.25">
      <c r="A13" s="11"/>
    </row>
    <row r="14" spans="1:9" x14ac:dyDescent="0.25">
      <c r="A14" s="11"/>
      <c r="B14" s="18" t="s">
        <v>18</v>
      </c>
      <c r="C14" s="25">
        <v>1</v>
      </c>
      <c r="D14" s="12" t="s">
        <v>19</v>
      </c>
      <c r="E14" s="38">
        <v>32</v>
      </c>
      <c r="F14" s="40">
        <f>E14*C14</f>
        <v>32</v>
      </c>
    </row>
    <row r="15" spans="1:9" x14ac:dyDescent="0.25">
      <c r="A15" s="11"/>
    </row>
    <row r="16" spans="1:9" ht="110" x14ac:dyDescent="0.25">
      <c r="A16" s="11" t="s">
        <v>20</v>
      </c>
      <c r="B16" s="19" t="s">
        <v>372</v>
      </c>
    </row>
    <row r="17" spans="1:7" ht="66" x14ac:dyDescent="0.25">
      <c r="B17" s="20" t="s">
        <v>21</v>
      </c>
      <c r="C17" s="11" t="s">
        <v>22</v>
      </c>
      <c r="D17" s="11" t="s">
        <v>23</v>
      </c>
      <c r="E17" s="11" t="s">
        <v>24</v>
      </c>
      <c r="F17" s="15"/>
    </row>
    <row r="18" spans="1:7" x14ac:dyDescent="0.25">
      <c r="B18" s="18" t="s">
        <v>25</v>
      </c>
      <c r="C18" s="25">
        <v>3600</v>
      </c>
      <c r="D18" s="12" t="s">
        <v>26</v>
      </c>
      <c r="E18" s="12">
        <f>C18*1/3600</f>
        <v>1</v>
      </c>
      <c r="F18" s="12" t="s">
        <v>27</v>
      </c>
    </row>
    <row r="20" spans="1:7" x14ac:dyDescent="0.25">
      <c r="B20" s="18" t="s">
        <v>28</v>
      </c>
      <c r="C20" s="25">
        <v>3600</v>
      </c>
      <c r="D20" s="12" t="s">
        <v>29</v>
      </c>
      <c r="E20" s="12">
        <f>C20*1/3600</f>
        <v>1</v>
      </c>
      <c r="F20" s="12" t="s">
        <v>27</v>
      </c>
    </row>
    <row r="22" spans="1:7" x14ac:dyDescent="0.25">
      <c r="B22" s="18" t="s">
        <v>30</v>
      </c>
      <c r="C22" s="25">
        <v>2400</v>
      </c>
      <c r="D22" s="12" t="s">
        <v>31</v>
      </c>
      <c r="E22" s="12">
        <f>C22*1/2400</f>
        <v>1</v>
      </c>
      <c r="F22" s="12" t="s">
        <v>27</v>
      </c>
    </row>
    <row r="25" spans="1:7" ht="88" x14ac:dyDescent="0.25">
      <c r="A25" s="12">
        <v>2</v>
      </c>
      <c r="B25" s="15" t="s">
        <v>32</v>
      </c>
      <c r="C25" s="14" t="s">
        <v>33</v>
      </c>
    </row>
    <row r="26" spans="1:7" x14ac:dyDescent="0.25">
      <c r="B26" s="16" t="s">
        <v>34</v>
      </c>
      <c r="C26" s="24"/>
    </row>
    <row r="27" spans="1:7" ht="110" x14ac:dyDescent="0.25">
      <c r="B27" s="16"/>
      <c r="C27" s="26" t="s">
        <v>35</v>
      </c>
      <c r="D27" s="14" t="s">
        <v>36</v>
      </c>
      <c r="E27" s="14" t="s">
        <v>37</v>
      </c>
      <c r="F27" s="12" t="s">
        <v>38</v>
      </c>
      <c r="G27" s="13" t="s">
        <v>39</v>
      </c>
    </row>
    <row r="28" spans="1:7" x14ac:dyDescent="0.25">
      <c r="B28" s="12" t="s">
        <v>40</v>
      </c>
    </row>
    <row r="29" spans="1:7" x14ac:dyDescent="0.25">
      <c r="A29" s="12" t="s">
        <v>10</v>
      </c>
      <c r="B29" s="12" t="s">
        <v>41</v>
      </c>
      <c r="C29" s="27">
        <v>1</v>
      </c>
      <c r="D29" s="34">
        <f>((C29*50/100)+6)/20</f>
        <v>0.32500000000000001</v>
      </c>
      <c r="E29" s="12">
        <f>C29*31/100</f>
        <v>0.31</v>
      </c>
      <c r="F29" s="12">
        <f>C29*4/100</f>
        <v>0.04</v>
      </c>
      <c r="G29" s="12">
        <f>(C29*1.05)+6</f>
        <v>7.05</v>
      </c>
    </row>
    <row r="31" spans="1:7" x14ac:dyDescent="0.25">
      <c r="A31" s="12" t="s">
        <v>20</v>
      </c>
      <c r="B31" s="12" t="s">
        <v>42</v>
      </c>
      <c r="C31" s="25">
        <v>1</v>
      </c>
      <c r="D31" s="12">
        <f>((C31*50/100)+8)/20</f>
        <v>0.42499999999999999</v>
      </c>
      <c r="E31" s="12">
        <f>C31*32/100</f>
        <v>0.32</v>
      </c>
      <c r="F31" s="12">
        <f>C31*4.2/100</f>
        <v>4.2000000000000003E-2</v>
      </c>
      <c r="G31" s="12">
        <f>(C31*1.05)+8</f>
        <v>9.0500000000000007</v>
      </c>
    </row>
    <row r="33" spans="1:7" x14ac:dyDescent="0.25">
      <c r="A33" s="12" t="s">
        <v>43</v>
      </c>
      <c r="B33" s="12" t="s">
        <v>44</v>
      </c>
      <c r="C33" s="25">
        <v>1</v>
      </c>
      <c r="D33" s="12">
        <f>((C33*50/100)+12)/20</f>
        <v>0.625</v>
      </c>
      <c r="E33" s="12">
        <f>C33*33/100</f>
        <v>0.33</v>
      </c>
      <c r="F33" s="12">
        <f>C33*4.4/100</f>
        <v>4.4000000000000004E-2</v>
      </c>
      <c r="G33" s="12">
        <f>(C33*1.05)+12</f>
        <v>13.05</v>
      </c>
    </row>
    <row r="35" spans="1:7" x14ac:dyDescent="0.25">
      <c r="A35" s="12">
        <v>3</v>
      </c>
      <c r="B35" s="15" t="s">
        <v>45</v>
      </c>
      <c r="C35" s="7" t="s">
        <v>46</v>
      </c>
      <c r="D35" s="7"/>
      <c r="E35" s="7"/>
    </row>
    <row r="36" spans="1:7" ht="66" x14ac:dyDescent="0.25">
      <c r="B36" s="12" t="s">
        <v>47</v>
      </c>
      <c r="C36" s="11" t="s">
        <v>48</v>
      </c>
      <c r="D36" s="11" t="s">
        <v>49</v>
      </c>
      <c r="E36" s="14" t="s">
        <v>50</v>
      </c>
    </row>
    <row r="37" spans="1:7" x14ac:dyDescent="0.25">
      <c r="B37" s="16" t="s">
        <v>51</v>
      </c>
      <c r="C37" s="24"/>
      <c r="D37" s="24"/>
      <c r="E37" s="12">
        <f>22/7*C37*C37*D37</f>
        <v>0</v>
      </c>
    </row>
    <row r="38" spans="1:7" x14ac:dyDescent="0.25">
      <c r="C38" s="7" t="s">
        <v>52</v>
      </c>
      <c r="D38" s="7"/>
      <c r="E38" s="7"/>
    </row>
    <row r="39" spans="1:7" x14ac:dyDescent="0.25">
      <c r="C39" s="11" t="s">
        <v>53</v>
      </c>
      <c r="D39" s="11" t="s">
        <v>54</v>
      </c>
      <c r="E39" s="11" t="s">
        <v>55</v>
      </c>
    </row>
    <row r="40" spans="1:7" x14ac:dyDescent="0.25">
      <c r="B40" s="16" t="s">
        <v>51</v>
      </c>
      <c r="C40" s="24"/>
      <c r="D40" s="24"/>
      <c r="E40" s="24"/>
    </row>
    <row r="41" spans="1:7" x14ac:dyDescent="0.25">
      <c r="D41" s="35" t="s">
        <v>7</v>
      </c>
    </row>
    <row r="42" spans="1:7" x14ac:dyDescent="0.25">
      <c r="D42" s="12" t="s">
        <v>56</v>
      </c>
    </row>
    <row r="43" spans="1:7" x14ac:dyDescent="0.25">
      <c r="D43" s="24"/>
    </row>
    <row r="44" spans="1:7" ht="66" x14ac:dyDescent="0.25">
      <c r="B44" s="12" t="s">
        <v>57</v>
      </c>
      <c r="C44" s="14" t="s">
        <v>58</v>
      </c>
      <c r="D44" s="14" t="s">
        <v>59</v>
      </c>
      <c r="E44" s="14" t="s">
        <v>60</v>
      </c>
    </row>
    <row r="45" spans="1:7" ht="176" x14ac:dyDescent="0.25">
      <c r="A45" s="12" t="s">
        <v>10</v>
      </c>
      <c r="B45" s="12" t="s">
        <v>61</v>
      </c>
      <c r="C45" s="25">
        <v>1</v>
      </c>
      <c r="D45" s="12">
        <f>1*C45/1.2</f>
        <v>0.83333333333333337</v>
      </c>
      <c r="E45" s="14" t="s">
        <v>62</v>
      </c>
    </row>
    <row r="47" spans="1:7" ht="44" x14ac:dyDescent="0.25">
      <c r="A47" s="12" t="s">
        <v>20</v>
      </c>
      <c r="B47" s="13" t="s">
        <v>63</v>
      </c>
      <c r="C47" s="25">
        <v>1</v>
      </c>
      <c r="D47" s="12">
        <f>C47*1/9</f>
        <v>0.1111111111111111</v>
      </c>
      <c r="E47" s="14" t="s">
        <v>64</v>
      </c>
    </row>
    <row r="49" spans="1:8" x14ac:dyDescent="0.25">
      <c r="A49" s="12" t="s">
        <v>65</v>
      </c>
      <c r="B49" s="12" t="s">
        <v>66</v>
      </c>
      <c r="C49" s="25">
        <v>1</v>
      </c>
      <c r="D49" s="12">
        <f>C49*1/16</f>
        <v>6.25E-2</v>
      </c>
      <c r="E49" s="11" t="s">
        <v>67</v>
      </c>
    </row>
    <row r="51" spans="1:8" x14ac:dyDescent="0.25">
      <c r="B51" s="15" t="s">
        <v>68</v>
      </c>
    </row>
    <row r="53" spans="1:8" x14ac:dyDescent="0.25">
      <c r="A53" s="12" t="s">
        <v>69</v>
      </c>
      <c r="B53" s="12" t="s">
        <v>70</v>
      </c>
      <c r="C53" s="25">
        <v>1</v>
      </c>
      <c r="D53" s="12">
        <f>C53*1/10</f>
        <v>0.1</v>
      </c>
      <c r="E53" s="12" t="s">
        <v>71</v>
      </c>
    </row>
    <row r="55" spans="1:8" x14ac:dyDescent="0.25">
      <c r="A55" s="12" t="s">
        <v>72</v>
      </c>
      <c r="B55" s="12" t="s">
        <v>73</v>
      </c>
      <c r="C55" s="25">
        <v>1</v>
      </c>
      <c r="D55" s="12">
        <f>C55*1/8.5</f>
        <v>0.11764705882352941</v>
      </c>
      <c r="E55" s="12" t="s">
        <v>74</v>
      </c>
    </row>
    <row r="57" spans="1:8" x14ac:dyDescent="0.25">
      <c r="B57" s="15" t="s">
        <v>75</v>
      </c>
      <c r="C57" s="12" t="s">
        <v>76</v>
      </c>
    </row>
    <row r="58" spans="1:8" x14ac:dyDescent="0.25">
      <c r="C58" s="24"/>
    </row>
    <row r="59" spans="1:8" ht="110" x14ac:dyDescent="0.25">
      <c r="C59" s="14" t="s">
        <v>77</v>
      </c>
      <c r="D59" s="14" t="s">
        <v>78</v>
      </c>
      <c r="E59" s="14" t="s">
        <v>79</v>
      </c>
      <c r="F59" s="14" t="s">
        <v>80</v>
      </c>
      <c r="G59" s="14" t="s">
        <v>81</v>
      </c>
      <c r="H59" s="14" t="s">
        <v>82</v>
      </c>
    </row>
    <row r="60" spans="1:8" ht="44" x14ac:dyDescent="0.25">
      <c r="C60" s="25">
        <v>1</v>
      </c>
      <c r="D60" s="12">
        <f>C60*2/3.3</f>
        <v>0.60606060606060608</v>
      </c>
      <c r="E60" s="12">
        <f>(C60*4.8/3.6)/3</f>
        <v>0.44444444444444442</v>
      </c>
      <c r="F60" s="12">
        <f>C60*0.5/3.6</f>
        <v>0.1388888888888889</v>
      </c>
      <c r="G60" s="13" t="s">
        <v>83</v>
      </c>
      <c r="H60" s="12">
        <f>C60*1/12</f>
        <v>8.3333333333333329E-2</v>
      </c>
    </row>
    <row r="62" spans="1:8" x14ac:dyDescent="0.25">
      <c r="A62" s="12">
        <v>4</v>
      </c>
      <c r="B62" s="15" t="s">
        <v>84</v>
      </c>
      <c r="C62" s="7" t="s">
        <v>85</v>
      </c>
      <c r="D62" s="7"/>
      <c r="E62" s="7"/>
    </row>
    <row r="63" spans="1:8" ht="66" x14ac:dyDescent="0.25">
      <c r="C63" s="11" t="s">
        <v>48</v>
      </c>
      <c r="D63" s="11" t="s">
        <v>49</v>
      </c>
      <c r="E63" s="14" t="s">
        <v>50</v>
      </c>
    </row>
    <row r="64" spans="1:8" x14ac:dyDescent="0.25">
      <c r="C64" s="24"/>
      <c r="D64" s="24"/>
      <c r="E64" s="12">
        <f>22/7*C64*C64*D64</f>
        <v>0</v>
      </c>
    </row>
    <row r="65" spans="2:7" x14ac:dyDescent="0.25">
      <c r="C65" s="7" t="s">
        <v>86</v>
      </c>
      <c r="D65" s="7"/>
      <c r="E65" s="7"/>
    </row>
    <row r="66" spans="2:7" x14ac:dyDescent="0.25">
      <c r="C66" s="11" t="s">
        <v>53</v>
      </c>
      <c r="D66" s="11" t="s">
        <v>54</v>
      </c>
      <c r="E66" s="11" t="s">
        <v>55</v>
      </c>
    </row>
    <row r="67" spans="2:7" x14ac:dyDescent="0.25">
      <c r="B67" s="16" t="s">
        <v>51</v>
      </c>
      <c r="C67" s="24"/>
      <c r="D67" s="24"/>
      <c r="E67" s="24"/>
    </row>
    <row r="68" spans="2:7" x14ac:dyDescent="0.25">
      <c r="D68" s="35" t="s">
        <v>7</v>
      </c>
    </row>
    <row r="69" spans="2:7" x14ac:dyDescent="0.25">
      <c r="D69" s="12" t="s">
        <v>56</v>
      </c>
    </row>
    <row r="70" spans="2:7" x14ac:dyDescent="0.25">
      <c r="D70" s="24"/>
    </row>
    <row r="72" spans="2:7" ht="65" customHeight="1" x14ac:dyDescent="0.25">
      <c r="B72" s="15" t="s">
        <v>87</v>
      </c>
      <c r="C72" s="12" t="s">
        <v>88</v>
      </c>
      <c r="D72" s="13" t="s">
        <v>89</v>
      </c>
      <c r="E72" s="13" t="s">
        <v>90</v>
      </c>
      <c r="F72" s="13" t="s">
        <v>91</v>
      </c>
      <c r="G72" s="13" t="s">
        <v>92</v>
      </c>
    </row>
    <row r="74" spans="2:7" x14ac:dyDescent="0.25">
      <c r="B74" s="12" t="s">
        <v>93</v>
      </c>
      <c r="C74" s="25">
        <v>1</v>
      </c>
      <c r="D74" s="12">
        <f>C74*15/5.8</f>
        <v>2.5862068965517242</v>
      </c>
      <c r="E74" s="12">
        <f>D74*1/15</f>
        <v>0.17241379310344829</v>
      </c>
      <c r="F74" s="12">
        <f>D74*1/13</f>
        <v>0.19893899204244031</v>
      </c>
      <c r="G74" s="12" t="s">
        <v>94</v>
      </c>
    </row>
    <row r="76" spans="2:7" x14ac:dyDescent="0.25">
      <c r="B76" s="12" t="s">
        <v>95</v>
      </c>
      <c r="C76" s="25">
        <v>1</v>
      </c>
      <c r="D76" s="12">
        <f>C76*15/5.6</f>
        <v>2.6785714285714288</v>
      </c>
      <c r="E76" s="12">
        <f>D76*1/15</f>
        <v>0.17857142857142858</v>
      </c>
      <c r="F76" s="12">
        <f>D76*1/13</f>
        <v>0.20604395604395606</v>
      </c>
      <c r="G76" s="12" t="s">
        <v>94</v>
      </c>
    </row>
    <row r="78" spans="2:7" x14ac:dyDescent="0.25">
      <c r="B78" s="12" t="s">
        <v>96</v>
      </c>
      <c r="C78" s="25">
        <v>1</v>
      </c>
      <c r="D78" s="12">
        <f>C78*15/5.3</f>
        <v>2.8301886792452833</v>
      </c>
      <c r="E78" s="12">
        <f>D78*1/15</f>
        <v>0.18867924528301888</v>
      </c>
      <c r="F78" s="12">
        <f>D78*1/13</f>
        <v>0.2177068214804064</v>
      </c>
      <c r="G78" s="12" t="s">
        <v>94</v>
      </c>
    </row>
    <row r="80" spans="2:7" x14ac:dyDescent="0.25">
      <c r="B80" s="12" t="s">
        <v>97</v>
      </c>
      <c r="C80" s="25">
        <v>1</v>
      </c>
      <c r="D80" s="12">
        <f>C80*15/7</f>
        <v>2.1428571428571428</v>
      </c>
      <c r="E80" s="12">
        <f>D80*1/8</f>
        <v>0.26785714285714285</v>
      </c>
      <c r="F80" s="12">
        <f>D80*1/6.5</f>
        <v>0.32967032967032966</v>
      </c>
      <c r="G80" s="12" t="s">
        <v>94</v>
      </c>
    </row>
    <row r="82" spans="1:7" ht="44" x14ac:dyDescent="0.25">
      <c r="B82" s="13" t="s">
        <v>98</v>
      </c>
      <c r="C82" s="25">
        <v>1</v>
      </c>
      <c r="D82" s="12">
        <f>C82*15/5.8</f>
        <v>2.5862068965517242</v>
      </c>
      <c r="E82" s="12">
        <f>D82*1/13</f>
        <v>0.19893899204244031</v>
      </c>
      <c r="F82" s="12">
        <f>D82*1/12</f>
        <v>0.21551724137931036</v>
      </c>
      <c r="G82" s="12" t="s">
        <v>99</v>
      </c>
    </row>
    <row r="84" spans="1:7" x14ac:dyDescent="0.25">
      <c r="B84" s="12" t="s">
        <v>100</v>
      </c>
      <c r="C84" s="25">
        <v>1</v>
      </c>
      <c r="D84" s="12">
        <f>C84*15/6</f>
        <v>2.5</v>
      </c>
      <c r="E84" s="12">
        <f>D84*1/15</f>
        <v>0.16666666666666666</v>
      </c>
      <c r="F84" s="12">
        <f>D84*1/13</f>
        <v>0.19230769230769232</v>
      </c>
      <c r="G84" s="12" t="s">
        <v>94</v>
      </c>
    </row>
    <row r="86" spans="1:7" x14ac:dyDescent="0.25">
      <c r="B86" s="12" t="s">
        <v>101</v>
      </c>
      <c r="C86" s="25">
        <v>1</v>
      </c>
      <c r="D86" s="12">
        <f>C86*15/5.8</f>
        <v>2.5862068965517242</v>
      </c>
      <c r="E86" s="12">
        <f>D86*1/15</f>
        <v>0.17241379310344829</v>
      </c>
      <c r="F86" s="12">
        <f>D86*1/13</f>
        <v>0.19893899204244031</v>
      </c>
      <c r="G86" s="12" t="s">
        <v>94</v>
      </c>
    </row>
    <row r="88" spans="1:7" ht="154" x14ac:dyDescent="0.25">
      <c r="B88" s="15" t="s">
        <v>102</v>
      </c>
      <c r="C88" s="14" t="s">
        <v>103</v>
      </c>
      <c r="D88" s="14" t="s">
        <v>104</v>
      </c>
      <c r="E88" s="13" t="s">
        <v>60</v>
      </c>
    </row>
    <row r="89" spans="1:7" ht="110" x14ac:dyDescent="0.25">
      <c r="B89" s="12" t="s">
        <v>105</v>
      </c>
      <c r="C89" s="12">
        <v>80</v>
      </c>
      <c r="D89" s="12">
        <f>C89*1/480</f>
        <v>0.16666666666666666</v>
      </c>
      <c r="E89" s="13" t="s">
        <v>106</v>
      </c>
    </row>
    <row r="92" spans="1:7" x14ac:dyDescent="0.25">
      <c r="A92" s="12">
        <v>5</v>
      </c>
      <c r="B92" s="15" t="s">
        <v>107</v>
      </c>
      <c r="C92" s="7" t="s">
        <v>108</v>
      </c>
      <c r="D92" s="7"/>
      <c r="E92" s="7"/>
    </row>
    <row r="93" spans="1:7" ht="66" x14ac:dyDescent="0.25">
      <c r="C93" s="11" t="s">
        <v>48</v>
      </c>
      <c r="D93" s="11" t="s">
        <v>49</v>
      </c>
      <c r="E93" s="14" t="s">
        <v>50</v>
      </c>
    </row>
    <row r="94" spans="1:7" x14ac:dyDescent="0.25">
      <c r="C94" s="24"/>
      <c r="D94" s="24"/>
      <c r="E94" s="12">
        <f>22/7*C94*C94*D94</f>
        <v>0</v>
      </c>
    </row>
    <row r="95" spans="1:7" x14ac:dyDescent="0.25">
      <c r="C95" s="7" t="s">
        <v>109</v>
      </c>
      <c r="D95" s="7"/>
      <c r="E95" s="7"/>
      <c r="G95" s="12" t="s">
        <v>110</v>
      </c>
    </row>
    <row r="96" spans="1:7" x14ac:dyDescent="0.25">
      <c r="C96" s="11" t="s">
        <v>53</v>
      </c>
      <c r="D96" s="11" t="s">
        <v>54</v>
      </c>
      <c r="E96" s="11" t="s">
        <v>111</v>
      </c>
    </row>
    <row r="97" spans="1:11" x14ac:dyDescent="0.25">
      <c r="B97" s="16" t="s">
        <v>51</v>
      </c>
      <c r="C97" s="24"/>
      <c r="D97" s="24"/>
      <c r="E97" s="24"/>
    </row>
    <row r="98" spans="1:11" x14ac:dyDescent="0.25">
      <c r="D98" s="35" t="s">
        <v>7</v>
      </c>
    </row>
    <row r="99" spans="1:11" x14ac:dyDescent="0.25">
      <c r="D99" s="12" t="s">
        <v>56</v>
      </c>
    </row>
    <row r="100" spans="1:11" x14ac:dyDescent="0.25">
      <c r="D100" s="24"/>
    </row>
    <row r="101" spans="1:11" x14ac:dyDescent="0.25">
      <c r="D101" s="36"/>
    </row>
    <row r="102" spans="1:11" ht="44" x14ac:dyDescent="0.25">
      <c r="B102" s="13" t="s">
        <v>112</v>
      </c>
      <c r="C102" s="28" t="s">
        <v>113</v>
      </c>
      <c r="D102" s="8" t="s">
        <v>114</v>
      </c>
      <c r="E102" s="8"/>
      <c r="F102" s="8" t="s">
        <v>115</v>
      </c>
      <c r="G102" s="8"/>
      <c r="H102" s="28"/>
      <c r="I102" s="44"/>
      <c r="J102" s="8"/>
      <c r="K102" s="8"/>
    </row>
    <row r="103" spans="1:11" x14ac:dyDescent="0.25">
      <c r="D103" s="36"/>
    </row>
    <row r="104" spans="1:11" x14ac:dyDescent="0.25">
      <c r="D104" s="36"/>
    </row>
    <row r="105" spans="1:11" x14ac:dyDescent="0.25">
      <c r="D105" s="36"/>
    </row>
    <row r="107" spans="1:11" ht="11" customHeight="1" x14ac:dyDescent="0.25"/>
    <row r="108" spans="1:11" s="4" customFormat="1" ht="26" customHeight="1" x14ac:dyDescent="0.25">
      <c r="A108" s="13"/>
      <c r="B108" s="13" t="s">
        <v>116</v>
      </c>
      <c r="C108" s="13" t="s">
        <v>117</v>
      </c>
      <c r="D108" s="13" t="s">
        <v>118</v>
      </c>
      <c r="E108" s="13" t="s">
        <v>119</v>
      </c>
      <c r="F108" s="13" t="s">
        <v>120</v>
      </c>
      <c r="G108" s="14" t="s">
        <v>121</v>
      </c>
      <c r="H108" s="14" t="s">
        <v>122</v>
      </c>
      <c r="I108" s="13"/>
    </row>
    <row r="109" spans="1:11" s="4" customFormat="1" x14ac:dyDescent="0.25">
      <c r="A109" s="13"/>
      <c r="B109" s="13"/>
      <c r="C109" s="13"/>
      <c r="D109" s="13"/>
      <c r="E109" s="13"/>
      <c r="F109" s="13"/>
      <c r="G109" s="13"/>
      <c r="H109" s="13"/>
      <c r="I109" s="13"/>
    </row>
    <row r="110" spans="1:11" x14ac:dyDescent="0.25">
      <c r="B110" s="12" t="s">
        <v>123</v>
      </c>
      <c r="C110" s="25">
        <v>1</v>
      </c>
      <c r="D110" s="12">
        <f>C110*3/1</f>
        <v>3</v>
      </c>
      <c r="E110" s="12">
        <f>C110*0.8/1</f>
        <v>0.8</v>
      </c>
      <c r="F110" s="12">
        <f>C110*1.45/1</f>
        <v>1.45</v>
      </c>
      <c r="G110" s="12" t="s">
        <v>124</v>
      </c>
      <c r="H110" s="12">
        <f>C110*0.85/1</f>
        <v>0.85</v>
      </c>
    </row>
    <row r="112" spans="1:11" x14ac:dyDescent="0.25">
      <c r="B112" s="12" t="s">
        <v>125</v>
      </c>
      <c r="C112" s="25">
        <v>1</v>
      </c>
      <c r="D112" s="12">
        <f>C112*4/1</f>
        <v>4</v>
      </c>
      <c r="E112" s="12">
        <f>C112*0.75/1</f>
        <v>0.75</v>
      </c>
      <c r="F112" s="12">
        <f>C112*1.38/1</f>
        <v>1.38</v>
      </c>
      <c r="G112" s="12" t="s">
        <v>124</v>
      </c>
      <c r="H112" s="12">
        <f>C112*0.85/1</f>
        <v>0.85</v>
      </c>
    </row>
    <row r="114" spans="1:8" x14ac:dyDescent="0.25">
      <c r="B114" s="12" t="s">
        <v>126</v>
      </c>
      <c r="C114" s="25">
        <v>1</v>
      </c>
      <c r="D114" s="12">
        <f>C114*6/1</f>
        <v>6</v>
      </c>
      <c r="E114" s="12">
        <f>C114*0.7/1</f>
        <v>0.7</v>
      </c>
      <c r="F114" s="12">
        <f>C114*1.31/1</f>
        <v>1.31</v>
      </c>
      <c r="G114" s="12" t="s">
        <v>124</v>
      </c>
      <c r="H114" s="12">
        <f>C114*0.85/1</f>
        <v>0.85</v>
      </c>
    </row>
    <row r="116" spans="1:8" x14ac:dyDescent="0.25">
      <c r="B116" s="12" t="s">
        <v>127</v>
      </c>
      <c r="C116" s="25">
        <v>1</v>
      </c>
      <c r="D116" s="12">
        <f>C116*8/1</f>
        <v>8</v>
      </c>
      <c r="E116" s="12">
        <f>C116*0.67/1</f>
        <v>0.67</v>
      </c>
      <c r="F116" s="12">
        <f>C116*1.26/1</f>
        <v>1.26</v>
      </c>
      <c r="G116" s="12" t="s">
        <v>124</v>
      </c>
      <c r="H116" s="12">
        <f>C116*0.85/1</f>
        <v>0.85</v>
      </c>
    </row>
    <row r="118" spans="1:8" x14ac:dyDescent="0.25">
      <c r="B118" s="12" t="s">
        <v>128</v>
      </c>
      <c r="C118" s="25">
        <v>1</v>
      </c>
      <c r="D118" s="12">
        <f>C118*11/1</f>
        <v>11</v>
      </c>
      <c r="E118" s="12">
        <f>C118*0.64/1</f>
        <v>0.64</v>
      </c>
      <c r="F118" s="12">
        <f>C118*1.2/1</f>
        <v>1.2</v>
      </c>
      <c r="G118" s="12" t="s">
        <v>124</v>
      </c>
      <c r="H118" s="12">
        <f>C118*0.85/1</f>
        <v>0.85</v>
      </c>
    </row>
    <row r="121" spans="1:8" x14ac:dyDescent="0.25">
      <c r="A121" s="12">
        <v>6</v>
      </c>
      <c r="B121" s="12" t="s">
        <v>129</v>
      </c>
      <c r="C121" s="7" t="s">
        <v>130</v>
      </c>
      <c r="D121" s="7"/>
    </row>
    <row r="122" spans="1:8" x14ac:dyDescent="0.25">
      <c r="C122" s="12" t="s">
        <v>131</v>
      </c>
      <c r="D122" s="12" t="s">
        <v>132</v>
      </c>
    </row>
    <row r="123" spans="1:8" x14ac:dyDescent="0.25">
      <c r="C123" s="24"/>
      <c r="D123" s="24"/>
    </row>
    <row r="124" spans="1:8" x14ac:dyDescent="0.25">
      <c r="C124" s="9" t="s">
        <v>7</v>
      </c>
      <c r="D124" s="8"/>
    </row>
    <row r="125" spans="1:8" x14ac:dyDescent="0.25">
      <c r="C125" s="8" t="s">
        <v>8</v>
      </c>
      <c r="D125" s="8"/>
    </row>
    <row r="126" spans="1:8" x14ac:dyDescent="0.25">
      <c r="C126" s="5"/>
      <c r="D126" s="6"/>
    </row>
    <row r="127" spans="1:8" x14ac:dyDescent="0.25">
      <c r="C127" s="29"/>
      <c r="D127" s="29"/>
    </row>
    <row r="128" spans="1:8" x14ac:dyDescent="0.25">
      <c r="C128" s="30"/>
      <c r="D128" s="10" t="s">
        <v>133</v>
      </c>
      <c r="E128" s="10"/>
      <c r="F128" s="41"/>
    </row>
    <row r="129" spans="1:6" ht="110" x14ac:dyDescent="0.25">
      <c r="C129" s="30" t="s">
        <v>134</v>
      </c>
      <c r="D129" s="37" t="s">
        <v>135</v>
      </c>
      <c r="E129" s="37" t="s">
        <v>136</v>
      </c>
      <c r="F129" s="37" t="str">
        <f>D44</f>
        <v>1 man Labour output per day</v>
      </c>
    </row>
    <row r="130" spans="1:6" x14ac:dyDescent="0.25">
      <c r="C130" s="25">
        <v>1</v>
      </c>
      <c r="D130" s="12">
        <f>(C130*1/4)*1.4</f>
        <v>0.35</v>
      </c>
      <c r="E130" s="12">
        <f>C130*1.15</f>
        <v>1.1499999999999999</v>
      </c>
      <c r="F130" s="12">
        <f>C130*1/600</f>
        <v>1.6666666666666668E-3</v>
      </c>
    </row>
    <row r="132" spans="1:6" x14ac:dyDescent="0.25">
      <c r="A132" s="12">
        <v>7</v>
      </c>
      <c r="B132" s="12" t="s">
        <v>137</v>
      </c>
    </row>
    <row r="134" spans="1:6" x14ac:dyDescent="0.25">
      <c r="B134" s="15" t="s">
        <v>138</v>
      </c>
      <c r="C134" s="7" t="s">
        <v>139</v>
      </c>
      <c r="D134" s="7"/>
    </row>
    <row r="135" spans="1:6" x14ac:dyDescent="0.25">
      <c r="B135" s="12" t="s">
        <v>140</v>
      </c>
      <c r="C135" s="12" t="s">
        <v>141</v>
      </c>
      <c r="D135" s="24"/>
    </row>
    <row r="137" spans="1:6" x14ac:dyDescent="0.25">
      <c r="B137" s="12" t="s">
        <v>142</v>
      </c>
      <c r="C137" s="12" t="s">
        <v>141</v>
      </c>
      <c r="D137" s="24"/>
    </row>
    <row r="139" spans="1:6" x14ac:dyDescent="0.25">
      <c r="B139" s="12" t="s">
        <v>143</v>
      </c>
      <c r="C139" s="12" t="s">
        <v>144</v>
      </c>
      <c r="D139" s="24"/>
    </row>
    <row r="141" spans="1:6" x14ac:dyDescent="0.25">
      <c r="B141" s="12" t="s">
        <v>145</v>
      </c>
      <c r="C141" s="12" t="s">
        <v>146</v>
      </c>
      <c r="D141" s="24"/>
    </row>
    <row r="143" spans="1:6" x14ac:dyDescent="0.25">
      <c r="B143" s="12" t="s">
        <v>147</v>
      </c>
      <c r="C143" s="12" t="s">
        <v>141</v>
      </c>
      <c r="D143" s="24"/>
    </row>
    <row r="144" spans="1:6" x14ac:dyDescent="0.25">
      <c r="D144" s="36"/>
    </row>
    <row r="145" spans="2:8" x14ac:dyDescent="0.25">
      <c r="B145" s="7" t="s">
        <v>148</v>
      </c>
      <c r="C145" s="7"/>
      <c r="D145" s="7"/>
      <c r="E145" s="7"/>
      <c r="F145" s="7"/>
      <c r="G145" s="7"/>
      <c r="H145" s="45"/>
    </row>
    <row r="146" spans="2:8" x14ac:dyDescent="0.25">
      <c r="B146" s="12" t="s">
        <v>149</v>
      </c>
      <c r="C146" s="12" t="str">
        <f>C135</f>
        <v>Girth / Total Length (m)</v>
      </c>
      <c r="D146" s="12" t="s">
        <v>150</v>
      </c>
      <c r="E146" s="12" t="s">
        <v>151</v>
      </c>
      <c r="F146" s="12" t="s">
        <v>152</v>
      </c>
      <c r="G146" s="12" t="s">
        <v>153</v>
      </c>
      <c r="H146" s="12" t="s">
        <v>154</v>
      </c>
    </row>
    <row r="148" spans="2:8" x14ac:dyDescent="0.25">
      <c r="B148" s="12" t="s">
        <v>155</v>
      </c>
      <c r="C148" s="25">
        <v>1</v>
      </c>
      <c r="D148" s="12">
        <f>C148*0.010701/1</f>
        <v>1.0701E-2</v>
      </c>
      <c r="E148" s="12">
        <f>C148*0.004126/1</f>
        <v>4.1260000000000003E-3</v>
      </c>
      <c r="F148" s="12">
        <f>C148*0.00707/1</f>
        <v>7.0699999999999999E-3</v>
      </c>
      <c r="G148" s="39">
        <f>(D148+E148+F148)*0.0015</f>
        <v>3.2845500000000003E-5</v>
      </c>
      <c r="H148" s="12">
        <f>D148+E148+F148</f>
        <v>2.1897E-2</v>
      </c>
    </row>
    <row r="150" spans="2:8" x14ac:dyDescent="0.25">
      <c r="B150" s="12" t="s">
        <v>156</v>
      </c>
      <c r="C150" s="25">
        <v>1</v>
      </c>
      <c r="D150" s="12">
        <f>C150*0.0007163/1</f>
        <v>7.1630000000000001E-4</v>
      </c>
      <c r="E150" s="12">
        <f>C150*0.004126/1</f>
        <v>4.1260000000000003E-3</v>
      </c>
      <c r="F150" s="12">
        <f>C150*0.00707/1</f>
        <v>7.0699999999999999E-3</v>
      </c>
      <c r="G150" s="39">
        <f>(D150+E150+F150)*0.0015</f>
        <v>1.786845E-5</v>
      </c>
      <c r="H150" s="12">
        <f>D150+E150+F150</f>
        <v>1.1912300000000001E-2</v>
      </c>
    </row>
    <row r="152" spans="2:8" x14ac:dyDescent="0.25">
      <c r="B152" s="12" t="s">
        <v>157</v>
      </c>
      <c r="C152" s="25">
        <v>1</v>
      </c>
      <c r="D152" s="12">
        <f>C152*0.0179/1</f>
        <v>1.7899999999999999E-2</v>
      </c>
      <c r="E152" s="12">
        <f>C152*0.004126/1</f>
        <v>4.1260000000000003E-3</v>
      </c>
      <c r="F152" s="12">
        <f>C152*0.00862/1</f>
        <v>8.6199999999999992E-3</v>
      </c>
      <c r="G152" s="39">
        <f>(D152+E152+F152)*0.0015</f>
        <v>4.5969E-5</v>
      </c>
      <c r="H152" s="12">
        <f>D152+E152+F152</f>
        <v>3.0646E-2</v>
      </c>
    </row>
    <row r="154" spans="2:8" x14ac:dyDescent="0.25">
      <c r="B154" s="7" t="s">
        <v>158</v>
      </c>
      <c r="C154" s="7"/>
      <c r="D154" s="7"/>
      <c r="E154" s="7"/>
      <c r="F154" s="7"/>
      <c r="G154" s="7"/>
      <c r="H154" s="45"/>
    </row>
    <row r="156" spans="2:8" x14ac:dyDescent="0.25">
      <c r="B156" s="12" t="s">
        <v>159</v>
      </c>
      <c r="C156" s="12" t="str">
        <f>C137</f>
        <v>Girth / Total Length (m)</v>
      </c>
      <c r="D156" s="12" t="s">
        <v>150</v>
      </c>
      <c r="E156" s="12" t="s">
        <v>160</v>
      </c>
      <c r="F156" s="12" t="str">
        <f>G146</f>
        <v>Binding Wire (20kg roll)</v>
      </c>
      <c r="G156" s="12" t="str">
        <f>H146</f>
        <v xml:space="preserve">Labour requirement </v>
      </c>
    </row>
    <row r="157" spans="2:8" x14ac:dyDescent="0.25">
      <c r="C157" s="25">
        <v>1</v>
      </c>
      <c r="D157" s="12">
        <f>C157*0.071634/1</f>
        <v>7.1634000000000003E-2</v>
      </c>
      <c r="E157" s="12">
        <f>B157*0.002722/1</f>
        <v>0</v>
      </c>
      <c r="F157" s="39">
        <f>(D157+E157)*0.0015</f>
        <v>1.0745100000000001E-4</v>
      </c>
      <c r="G157" s="12">
        <f>D157+E157</f>
        <v>7.1634000000000003E-2</v>
      </c>
    </row>
    <row r="159" spans="2:8" x14ac:dyDescent="0.25">
      <c r="B159" s="7" t="s">
        <v>143</v>
      </c>
      <c r="C159" s="7"/>
      <c r="D159" s="7"/>
      <c r="E159" s="7"/>
      <c r="F159" s="7"/>
      <c r="G159" s="7"/>
      <c r="H159" s="45"/>
    </row>
    <row r="160" spans="2:8" x14ac:dyDescent="0.25">
      <c r="B160" s="11" t="s">
        <v>161</v>
      </c>
      <c r="C160" s="11" t="s">
        <v>162</v>
      </c>
      <c r="D160" s="11" t="s">
        <v>163</v>
      </c>
      <c r="E160" s="11" t="s">
        <v>150</v>
      </c>
      <c r="F160" s="11" t="s">
        <v>164</v>
      </c>
      <c r="G160" s="11" t="s">
        <v>165</v>
      </c>
      <c r="H160" s="11" t="s">
        <v>154</v>
      </c>
    </row>
    <row r="161" spans="2:8" x14ac:dyDescent="0.25">
      <c r="B161" s="12" t="s">
        <v>166</v>
      </c>
      <c r="C161" s="25">
        <v>1</v>
      </c>
      <c r="D161" s="25">
        <v>1</v>
      </c>
      <c r="E161" s="12">
        <f>(C161*D161)*0.0071/1</f>
        <v>7.1000000000000004E-3</v>
      </c>
      <c r="F161" s="12">
        <f>(C161*D161)*0.00262/1</f>
        <v>2.6199999999999999E-3</v>
      </c>
      <c r="G161" s="39">
        <f>(E161+F161)*0.0015</f>
        <v>1.4579999999999999E-5</v>
      </c>
      <c r="H161" s="12">
        <f>E161+F161</f>
        <v>9.7199999999999995E-3</v>
      </c>
    </row>
    <row r="162" spans="2:8" x14ac:dyDescent="0.25">
      <c r="G162" s="39"/>
    </row>
    <row r="163" spans="2:8" x14ac:dyDescent="0.25">
      <c r="B163" s="12" t="s">
        <v>167</v>
      </c>
      <c r="C163" s="25">
        <v>1</v>
      </c>
      <c r="D163" s="25">
        <v>1</v>
      </c>
      <c r="E163" s="12">
        <f>(C163*D163)*0.00588/1</f>
        <v>5.8799999999999998E-3</v>
      </c>
      <c r="F163" s="12">
        <f>(C163*D163)*0.00388/1</f>
        <v>3.8800000000000002E-3</v>
      </c>
      <c r="G163" s="39">
        <f>(E163+F163)*0.0015</f>
        <v>1.464E-5</v>
      </c>
      <c r="H163" s="12">
        <f>E163+F163</f>
        <v>9.7599999999999996E-3</v>
      </c>
    </row>
    <row r="164" spans="2:8" x14ac:dyDescent="0.25">
      <c r="G164" s="39"/>
    </row>
    <row r="165" spans="2:8" x14ac:dyDescent="0.25">
      <c r="B165" s="12" t="s">
        <v>168</v>
      </c>
      <c r="C165" s="25">
        <v>1</v>
      </c>
      <c r="D165" s="25">
        <v>1</v>
      </c>
      <c r="E165" s="12">
        <f>(C165*D165)*0.0143/1</f>
        <v>1.43E-2</v>
      </c>
      <c r="F165" s="12">
        <f>(C165*D165)*0.004587/1</f>
        <v>4.5869999999999999E-3</v>
      </c>
      <c r="G165" s="39">
        <f>(E165+F165)*0.0015</f>
        <v>2.8330500000000003E-5</v>
      </c>
      <c r="H165" s="12">
        <f>E165+F165</f>
        <v>1.8887000000000001E-2</v>
      </c>
    </row>
    <row r="167" spans="2:8" x14ac:dyDescent="0.25">
      <c r="B167" s="7" t="s">
        <v>169</v>
      </c>
      <c r="C167" s="7"/>
      <c r="D167" s="7"/>
      <c r="E167" s="7"/>
      <c r="F167" s="7"/>
      <c r="G167" s="7"/>
      <c r="H167" s="45"/>
    </row>
    <row r="168" spans="2:8" x14ac:dyDescent="0.25">
      <c r="B168" s="11" t="s">
        <v>170</v>
      </c>
      <c r="C168" s="11" t="s">
        <v>134</v>
      </c>
      <c r="D168" s="11" t="s">
        <v>151</v>
      </c>
      <c r="E168" s="11" t="s">
        <v>153</v>
      </c>
      <c r="F168" s="11" t="s">
        <v>154</v>
      </c>
      <c r="G168" s="11"/>
      <c r="H168" s="11"/>
    </row>
    <row r="169" spans="2:8" x14ac:dyDescent="0.25">
      <c r="B169" s="12" t="s">
        <v>171</v>
      </c>
      <c r="C169" s="25">
        <v>1</v>
      </c>
      <c r="D169" s="12">
        <f>C169*0.01688709</f>
        <v>1.688709E-2</v>
      </c>
      <c r="E169" s="39">
        <f>(D169)*0.0015</f>
        <v>2.5330635E-5</v>
      </c>
      <c r="F169" s="12">
        <f>D169</f>
        <v>1.688709E-2</v>
      </c>
    </row>
    <row r="171" spans="2:8" x14ac:dyDescent="0.25">
      <c r="B171" s="12" t="s">
        <v>172</v>
      </c>
      <c r="C171" s="25">
        <v>1</v>
      </c>
      <c r="D171" s="12">
        <f>C171*0.022512098</f>
        <v>2.2512098000000001E-2</v>
      </c>
      <c r="E171" s="39">
        <f>(D171)*0.0015</f>
        <v>3.3768147000000001E-5</v>
      </c>
      <c r="F171" s="12">
        <f>D171</f>
        <v>2.2512098000000001E-2</v>
      </c>
    </row>
    <row r="173" spans="2:8" x14ac:dyDescent="0.25">
      <c r="B173" s="7" t="s">
        <v>173</v>
      </c>
      <c r="C173" s="7"/>
      <c r="D173" s="7"/>
      <c r="E173" s="7"/>
      <c r="F173" s="7"/>
      <c r="G173" s="7"/>
      <c r="H173" s="45"/>
    </row>
    <row r="174" spans="2:8" x14ac:dyDescent="0.25">
      <c r="B174" s="21" t="s">
        <v>174</v>
      </c>
      <c r="C174" s="11" t="str">
        <f>C143</f>
        <v>Girth / Total Length (m)</v>
      </c>
      <c r="D174" s="11" t="s">
        <v>151</v>
      </c>
      <c r="E174" s="11" t="s">
        <v>164</v>
      </c>
      <c r="F174" s="11" t="s">
        <v>175</v>
      </c>
      <c r="G174" s="11" t="str">
        <f>G160</f>
        <v>Binding wire (20kg/roll)</v>
      </c>
      <c r="H174" s="11" t="str">
        <f>H160</f>
        <v xml:space="preserve">Labour requirement </v>
      </c>
    </row>
    <row r="175" spans="2:8" x14ac:dyDescent="0.25">
      <c r="B175" s="12" t="s">
        <v>176</v>
      </c>
      <c r="C175" s="25">
        <v>1</v>
      </c>
      <c r="D175" s="12">
        <f>C175*0.00408238/1</f>
        <v>4.08238E-3</v>
      </c>
      <c r="E175" s="12">
        <f>C175*0.00262623/1</f>
        <v>2.6262299999999998E-3</v>
      </c>
      <c r="F175" s="12">
        <v>0</v>
      </c>
      <c r="G175" s="39">
        <f>(D175+E175)*0.0015</f>
        <v>1.0062915000000001E-5</v>
      </c>
      <c r="H175" s="12">
        <f>D175+E175</f>
        <v>6.7086100000000003E-3</v>
      </c>
    </row>
    <row r="177" spans="1:8" x14ac:dyDescent="0.25">
      <c r="B177" s="12" t="s">
        <v>177</v>
      </c>
      <c r="C177" s="25">
        <v>1</v>
      </c>
      <c r="D177" s="12">
        <f>C177*0.00408238/1</f>
        <v>4.08238E-3</v>
      </c>
      <c r="E177" s="12">
        <f>C177*0.00216949/1</f>
        <v>2.16949E-3</v>
      </c>
      <c r="F177" s="12">
        <v>0</v>
      </c>
      <c r="G177" s="39">
        <f>(D177+E177)*0.0015</f>
        <v>9.3778049999999989E-6</v>
      </c>
      <c r="H177" s="12">
        <f>D177+E177</f>
        <v>6.2518699999999996E-3</v>
      </c>
    </row>
    <row r="179" spans="1:8" x14ac:dyDescent="0.25">
      <c r="B179" s="12" t="s">
        <v>178</v>
      </c>
      <c r="C179" s="25">
        <v>1</v>
      </c>
      <c r="D179" s="12">
        <f>C179*0.00204119/1</f>
        <v>2.04119E-3</v>
      </c>
      <c r="E179" s="12">
        <f>C179*0.00058621/1</f>
        <v>5.8620999999999999E-4</v>
      </c>
      <c r="F179" s="12">
        <v>0</v>
      </c>
      <c r="G179" s="39">
        <f>(D179+E179)*0.0015</f>
        <v>3.9411000000000003E-6</v>
      </c>
      <c r="H179" s="12">
        <f>D179+E179</f>
        <v>2.6274000000000002E-3</v>
      </c>
    </row>
    <row r="181" spans="1:8" x14ac:dyDescent="0.25">
      <c r="B181" s="12" t="s">
        <v>179</v>
      </c>
      <c r="C181" s="25">
        <v>1</v>
      </c>
      <c r="D181" s="12">
        <f>C181*0.00204119/1</f>
        <v>2.04119E-3</v>
      </c>
      <c r="E181" s="12">
        <f>C181*0.00038231/1</f>
        <v>3.8231000000000002E-4</v>
      </c>
      <c r="F181" s="12">
        <v>0</v>
      </c>
      <c r="G181" s="39">
        <f>(D181+E181)*0.0015</f>
        <v>3.6352500000000001E-6</v>
      </c>
      <c r="H181" s="12">
        <f>D181+E181</f>
        <v>2.4234999999999999E-3</v>
      </c>
    </row>
    <row r="182" spans="1:8" ht="66" x14ac:dyDescent="0.25">
      <c r="H182" s="14" t="s">
        <v>82</v>
      </c>
    </row>
    <row r="183" spans="1:8" x14ac:dyDescent="0.25">
      <c r="B183" s="12" t="s">
        <v>180</v>
      </c>
      <c r="C183" s="25">
        <v>1</v>
      </c>
      <c r="D183" s="12">
        <v>0</v>
      </c>
      <c r="E183" s="12">
        <v>0</v>
      </c>
      <c r="F183" s="12">
        <f>C183*2/1</f>
        <v>2</v>
      </c>
      <c r="G183" s="12">
        <v>0</v>
      </c>
      <c r="H183" s="12">
        <f>C183*1/110.4</f>
        <v>9.057971014492754E-3</v>
      </c>
    </row>
    <row r="186" spans="1:8" x14ac:dyDescent="0.25">
      <c r="A186" s="12">
        <v>8</v>
      </c>
      <c r="B186" s="22" t="s">
        <v>181</v>
      </c>
    </row>
    <row r="187" spans="1:8" x14ac:dyDescent="0.25">
      <c r="B187" s="12" t="s">
        <v>182</v>
      </c>
    </row>
    <row r="188" spans="1:8" ht="44" x14ac:dyDescent="0.25">
      <c r="B188" s="13" t="s">
        <v>183</v>
      </c>
      <c r="C188" s="7" t="s">
        <v>184</v>
      </c>
      <c r="D188" s="7"/>
    </row>
    <row r="189" spans="1:8" x14ac:dyDescent="0.25">
      <c r="C189" s="12" t="s">
        <v>131</v>
      </c>
      <c r="D189" s="12" t="s">
        <v>132</v>
      </c>
    </row>
    <row r="190" spans="1:8" x14ac:dyDescent="0.25">
      <c r="C190" s="24"/>
      <c r="D190" s="24"/>
    </row>
    <row r="191" spans="1:8" x14ac:dyDescent="0.25">
      <c r="C191" s="9" t="s">
        <v>7</v>
      </c>
      <c r="D191" s="8"/>
    </row>
    <row r="192" spans="1:8" x14ac:dyDescent="0.25">
      <c r="C192" s="8" t="s">
        <v>8</v>
      </c>
      <c r="D192" s="8"/>
    </row>
    <row r="193" spans="2:11" x14ac:dyDescent="0.25">
      <c r="C193" s="5"/>
      <c r="D193" s="6"/>
    </row>
    <row r="194" spans="2:11" x14ac:dyDescent="0.25">
      <c r="C194" s="31"/>
      <c r="D194" s="31"/>
    </row>
    <row r="195" spans="2:11" x14ac:dyDescent="0.25">
      <c r="B195" s="12" t="s">
        <v>185</v>
      </c>
      <c r="C195" s="12" t="s">
        <v>186</v>
      </c>
    </row>
    <row r="197" spans="2:11" x14ac:dyDescent="0.25">
      <c r="B197" s="12" t="s">
        <v>187</v>
      </c>
      <c r="C197" s="12" t="s">
        <v>188</v>
      </c>
    </row>
    <row r="198" spans="2:11" x14ac:dyDescent="0.25">
      <c r="C198" s="23" t="s">
        <v>189</v>
      </c>
    </row>
    <row r="199" spans="2:11" x14ac:dyDescent="0.25">
      <c r="C199" s="12" t="s">
        <v>190</v>
      </c>
    </row>
    <row r="201" spans="2:11" x14ac:dyDescent="0.25">
      <c r="B201" s="12" t="s">
        <v>191</v>
      </c>
      <c r="C201" s="12" t="s">
        <v>192</v>
      </c>
    </row>
    <row r="203" spans="2:11" x14ac:dyDescent="0.25">
      <c r="B203" s="12" t="s">
        <v>193</v>
      </c>
    </row>
    <row r="204" spans="2:11" x14ac:dyDescent="0.25">
      <c r="B204" s="12" t="s">
        <v>194</v>
      </c>
      <c r="C204" s="12" t="s">
        <v>195</v>
      </c>
    </row>
    <row r="206" spans="2:11" x14ac:dyDescent="0.25">
      <c r="B206" s="12" t="s">
        <v>196</v>
      </c>
      <c r="C206" s="12" t="s">
        <v>197</v>
      </c>
    </row>
    <row r="208" spans="2:11" x14ac:dyDescent="0.25">
      <c r="B208" s="7" t="s">
        <v>198</v>
      </c>
      <c r="C208" s="7"/>
      <c r="D208" s="7"/>
      <c r="E208" s="7"/>
      <c r="F208" s="7"/>
      <c r="G208" s="7"/>
      <c r="H208" s="45"/>
      <c r="I208" s="45"/>
      <c r="J208" s="7"/>
      <c r="K208" s="7"/>
    </row>
    <row r="209" spans="2:13" ht="66" x14ac:dyDescent="0.25">
      <c r="B209" s="15" t="s">
        <v>199</v>
      </c>
      <c r="C209" s="12" t="s">
        <v>200</v>
      </c>
      <c r="D209" s="12" t="s">
        <v>201</v>
      </c>
      <c r="E209" s="12" t="s">
        <v>202</v>
      </c>
      <c r="F209" s="12" t="s">
        <v>203</v>
      </c>
      <c r="G209" s="12" t="s">
        <v>204</v>
      </c>
      <c r="H209" s="14" t="s">
        <v>205</v>
      </c>
      <c r="I209" s="12" t="s">
        <v>206</v>
      </c>
      <c r="J209" s="3" t="s">
        <v>207</v>
      </c>
      <c r="K209" s="3" t="s">
        <v>208</v>
      </c>
    </row>
    <row r="210" spans="2:13" x14ac:dyDescent="0.25">
      <c r="B210" s="12" t="s">
        <v>209</v>
      </c>
      <c r="C210" s="25">
        <v>1</v>
      </c>
      <c r="D210" s="12">
        <f>C210*1/2.8</f>
        <v>0.35714285714285715</v>
      </c>
      <c r="E210" s="12">
        <f>C210*1/0.95</f>
        <v>1.0526315789473684</v>
      </c>
      <c r="F210" s="12">
        <f>C210*6/2.8</f>
        <v>2.1428571428571428</v>
      </c>
      <c r="G210" s="12">
        <f>C210*0.2/2.8</f>
        <v>7.1428571428571438E-2</v>
      </c>
      <c r="H210" s="12">
        <f>C210*0.1875</f>
        <v>0.1875</v>
      </c>
      <c r="I210" s="12">
        <f>C210*0.067/2.8</f>
        <v>2.3928571428571431E-2</v>
      </c>
      <c r="J210" s="2">
        <f>C210</f>
        <v>1</v>
      </c>
      <c r="K210" s="2">
        <f>C210*1/20</f>
        <v>0.05</v>
      </c>
    </row>
    <row r="212" spans="2:13" x14ac:dyDescent="0.25">
      <c r="B212" s="12" t="s">
        <v>210</v>
      </c>
      <c r="C212" s="25">
        <v>1</v>
      </c>
      <c r="D212" s="12">
        <f>C212*1/2.8</f>
        <v>0.35714285714285715</v>
      </c>
      <c r="E212" s="12">
        <f>C212*1/0.95</f>
        <v>1.0526315789473684</v>
      </c>
      <c r="F212" s="12">
        <f>C212*6/2.8</f>
        <v>2.1428571428571428</v>
      </c>
      <c r="G212" s="12">
        <f>C212*0.2/2.8</f>
        <v>7.1428571428571438E-2</v>
      </c>
      <c r="H212" s="12">
        <f>C212*0.1875</f>
        <v>0.1875</v>
      </c>
      <c r="I212" s="12">
        <f>C212*0.067/2.8</f>
        <v>2.3928571428571431E-2</v>
      </c>
      <c r="J212" s="2">
        <f>C212</f>
        <v>1</v>
      </c>
      <c r="K212" s="2">
        <f>C212*1/24</f>
        <v>4.1666666666666664E-2</v>
      </c>
    </row>
    <row r="214" spans="2:13" x14ac:dyDescent="0.25">
      <c r="B214" s="7" t="s">
        <v>142</v>
      </c>
      <c r="C214" s="7"/>
      <c r="D214" s="7"/>
      <c r="E214" s="7"/>
      <c r="F214" s="7"/>
      <c r="G214" s="7"/>
      <c r="H214" s="45"/>
      <c r="I214" s="45"/>
      <c r="J214" s="7"/>
      <c r="K214" s="7"/>
    </row>
    <row r="215" spans="2:13" ht="35" customHeight="1" x14ac:dyDescent="0.25">
      <c r="B215" s="15" t="s">
        <v>199</v>
      </c>
      <c r="C215" s="12" t="s">
        <v>200</v>
      </c>
      <c r="D215" s="12" t="s">
        <v>201</v>
      </c>
      <c r="E215" s="32" t="s">
        <v>202</v>
      </c>
      <c r="F215" s="32" t="s">
        <v>211</v>
      </c>
      <c r="G215" s="12" t="s">
        <v>212</v>
      </c>
      <c r="H215" s="14" t="s">
        <v>213</v>
      </c>
      <c r="I215" s="46" t="s">
        <v>214</v>
      </c>
      <c r="J215" s="3" t="s">
        <v>215</v>
      </c>
      <c r="K215" s="2" t="s">
        <v>216</v>
      </c>
    </row>
    <row r="216" spans="2:13" x14ac:dyDescent="0.25">
      <c r="B216" s="12" t="s">
        <v>217</v>
      </c>
      <c r="C216" s="25">
        <v>1</v>
      </c>
      <c r="D216" s="32">
        <f>C216*1/2.8</f>
        <v>0.35714285714285715</v>
      </c>
      <c r="E216" s="32">
        <f>C216*1/0.95</f>
        <v>1.0526315789473684</v>
      </c>
      <c r="F216" s="32">
        <f>C216*3</f>
        <v>3</v>
      </c>
      <c r="G216" s="12">
        <f>C216*1.76/1</f>
        <v>1.76</v>
      </c>
      <c r="H216" s="12">
        <f>C216*0.1875</f>
        <v>0.1875</v>
      </c>
      <c r="I216" s="12">
        <f>C216*18/15</f>
        <v>1.2</v>
      </c>
      <c r="J216" s="2">
        <f>C216*1/15</f>
        <v>6.6666666666666666E-2</v>
      </c>
      <c r="K216" s="2">
        <f>C216*4.8</f>
        <v>4.8</v>
      </c>
    </row>
    <row r="217" spans="2:13" x14ac:dyDescent="0.25">
      <c r="F217" s="32"/>
    </row>
    <row r="218" spans="2:13" x14ac:dyDescent="0.25">
      <c r="B218" s="12" t="s">
        <v>218</v>
      </c>
      <c r="C218" s="25">
        <v>1</v>
      </c>
      <c r="D218" s="32">
        <f>C218*1/2.8</f>
        <v>0.35714285714285715</v>
      </c>
      <c r="E218" s="32">
        <f>C218*1/0.95</f>
        <v>1.0526315789473684</v>
      </c>
      <c r="F218" s="32">
        <f>C218*2</f>
        <v>2</v>
      </c>
      <c r="G218" s="12">
        <f>C218*0.4/1</f>
        <v>0.4</v>
      </c>
      <c r="H218" s="12">
        <f>C218*0.1875</f>
        <v>0.1875</v>
      </c>
      <c r="I218" s="12">
        <f>C218*54/44.82</f>
        <v>1.2048192771084336</v>
      </c>
      <c r="J218" s="2">
        <f>C218*1/23</f>
        <v>4.3478260869565216E-2</v>
      </c>
      <c r="K218" s="2">
        <v>0</v>
      </c>
    </row>
    <row r="219" spans="2:13" x14ac:dyDescent="0.25">
      <c r="F219" s="32"/>
    </row>
    <row r="220" spans="2:13" x14ac:dyDescent="0.25">
      <c r="B220" s="7" t="s">
        <v>219</v>
      </c>
      <c r="C220" s="7"/>
      <c r="D220" s="7"/>
      <c r="E220" s="7"/>
      <c r="F220" s="7"/>
      <c r="G220" s="7"/>
      <c r="H220" s="45"/>
      <c r="I220" s="45"/>
      <c r="J220" s="7"/>
      <c r="K220" s="7"/>
    </row>
    <row r="221" spans="2:13" ht="25" customHeight="1" x14ac:dyDescent="0.25">
      <c r="B221" s="12" t="s">
        <v>199</v>
      </c>
      <c r="C221" s="12" t="s">
        <v>200</v>
      </c>
      <c r="D221" s="12" t="s">
        <v>220</v>
      </c>
      <c r="E221" s="12" t="s">
        <v>201</v>
      </c>
      <c r="F221" s="32" t="s">
        <v>202</v>
      </c>
      <c r="G221" s="42" t="s">
        <v>221</v>
      </c>
      <c r="H221" s="14" t="s">
        <v>222</v>
      </c>
      <c r="I221" s="14" t="s">
        <v>213</v>
      </c>
      <c r="J221" s="3" t="s">
        <v>207</v>
      </c>
      <c r="K221" s="3" t="s">
        <v>215</v>
      </c>
      <c r="L221" s="2" t="s">
        <v>223</v>
      </c>
      <c r="M221" s="2" t="s">
        <v>224</v>
      </c>
    </row>
    <row r="222" spans="2:13" x14ac:dyDescent="0.25">
      <c r="B222" s="12" t="s">
        <v>225</v>
      </c>
      <c r="C222" s="25">
        <v>1</v>
      </c>
      <c r="D222" s="12" t="s">
        <v>226</v>
      </c>
      <c r="E222" s="12">
        <f>C222*1/2.8</f>
        <v>0.35714285714285715</v>
      </c>
      <c r="F222" s="12">
        <f>C222*1/0.95</f>
        <v>1.0526315789473684</v>
      </c>
      <c r="G222" s="12">
        <f>C222*0.83/1</f>
        <v>0.83</v>
      </c>
      <c r="H222" s="12">
        <f>C222*0.61</f>
        <v>0.61</v>
      </c>
      <c r="I222" s="12">
        <f>C222*0.1875</f>
        <v>0.1875</v>
      </c>
      <c r="J222" s="2">
        <f>C222</f>
        <v>1</v>
      </c>
      <c r="K222" s="2">
        <f>C222*1/35</f>
        <v>2.8571428571428571E-2</v>
      </c>
      <c r="L222" s="2">
        <f>C222*1.13/1</f>
        <v>1.1299999999999999</v>
      </c>
      <c r="M222" s="2">
        <f>C222*1.85/1</f>
        <v>1.85</v>
      </c>
    </row>
    <row r="223" spans="2:13" x14ac:dyDescent="0.25">
      <c r="B223" s="12" t="s">
        <v>227</v>
      </c>
      <c r="D223" s="25">
        <v>1</v>
      </c>
      <c r="E223" s="12">
        <f>(D223*1/2.8)*0.17</f>
        <v>6.0714285714285721E-2</v>
      </c>
      <c r="F223" s="12">
        <f>(D223*1/0.95)*0.18</f>
        <v>0.18947368421052629</v>
      </c>
      <c r="G223" s="12">
        <f>D223*0.1/1</f>
        <v>0.1</v>
      </c>
      <c r="I223" s="12">
        <f>C223*0.1875*0.25</f>
        <v>0</v>
      </c>
      <c r="J223" s="2">
        <f>D223*0.15</f>
        <v>0.15</v>
      </c>
      <c r="K223" s="2">
        <f>D223*1/80</f>
        <v>1.2500000000000001E-2</v>
      </c>
    </row>
    <row r="225" spans="2:13" x14ac:dyDescent="0.25">
      <c r="B225" s="7" t="s">
        <v>143</v>
      </c>
      <c r="C225" s="7"/>
      <c r="D225" s="7"/>
      <c r="E225" s="7"/>
      <c r="F225" s="7"/>
      <c r="G225" s="7"/>
      <c r="H225" s="45"/>
      <c r="I225" s="45"/>
      <c r="J225" s="7"/>
      <c r="K225" s="7"/>
    </row>
    <row r="226" spans="2:13" ht="25" customHeight="1" x14ac:dyDescent="0.25">
      <c r="B226" s="12" t="s">
        <v>228</v>
      </c>
      <c r="C226" s="12" t="s">
        <v>200</v>
      </c>
      <c r="D226" s="12" t="s">
        <v>229</v>
      </c>
      <c r="E226" s="12" t="s">
        <v>201</v>
      </c>
      <c r="F226" s="32" t="s">
        <v>202</v>
      </c>
      <c r="G226" s="32" t="s">
        <v>230</v>
      </c>
      <c r="H226" s="42" t="s">
        <v>231</v>
      </c>
      <c r="I226" s="14" t="s">
        <v>232</v>
      </c>
      <c r="J226" s="3" t="s">
        <v>233</v>
      </c>
      <c r="K226" s="3" t="s">
        <v>215</v>
      </c>
      <c r="L226" s="3" t="s">
        <v>234</v>
      </c>
      <c r="M226" s="2" t="s">
        <v>235</v>
      </c>
    </row>
    <row r="227" spans="2:13" x14ac:dyDescent="0.25">
      <c r="B227" s="12" t="s">
        <v>236</v>
      </c>
      <c r="C227" s="25">
        <v>1</v>
      </c>
      <c r="D227" s="25">
        <v>1</v>
      </c>
      <c r="E227" s="12">
        <f>C227*D227*1/2.8</f>
        <v>0.35714285714285715</v>
      </c>
      <c r="F227" s="32">
        <f>C227*D227*1/0.95</f>
        <v>1.0526315789473684</v>
      </c>
      <c r="G227" s="12">
        <f>D227</f>
        <v>1</v>
      </c>
      <c r="H227" s="12">
        <f>2.4+(C227*D227*1.09/1)</f>
        <v>3.49</v>
      </c>
      <c r="I227" s="12">
        <f>C227*0.1875</f>
        <v>0.1875</v>
      </c>
      <c r="J227" s="2">
        <f>D227</f>
        <v>1</v>
      </c>
      <c r="K227" s="2">
        <f>D227*1/24</f>
        <v>4.1666666666666664E-2</v>
      </c>
      <c r="L227" s="2">
        <f>D227*4/1</f>
        <v>4</v>
      </c>
    </row>
    <row r="229" spans="2:13" x14ac:dyDescent="0.25">
      <c r="B229" s="12" t="s">
        <v>237</v>
      </c>
      <c r="C229" s="25">
        <v>1</v>
      </c>
      <c r="D229" s="25">
        <v>1</v>
      </c>
      <c r="E229" s="12">
        <f>C229*D229*1/2.8</f>
        <v>0.35714285714285715</v>
      </c>
      <c r="F229" s="32">
        <f>C229*D229*1/0.95</f>
        <v>1.0526315789473684</v>
      </c>
      <c r="G229" s="12">
        <f>D229</f>
        <v>1</v>
      </c>
      <c r="H229" s="12">
        <f>1.79+(C229*D229*1.7/1)</f>
        <v>3.49</v>
      </c>
      <c r="I229" s="12">
        <f>C229*0.1875</f>
        <v>0.1875</v>
      </c>
      <c r="J229" s="2">
        <f>D229</f>
        <v>1</v>
      </c>
      <c r="K229" s="2">
        <f>D229*1/20</f>
        <v>0.05</v>
      </c>
      <c r="L229" s="2">
        <f>D229*4/1</f>
        <v>4</v>
      </c>
    </row>
    <row r="231" spans="2:13" x14ac:dyDescent="0.25">
      <c r="B231" s="12" t="s">
        <v>238</v>
      </c>
      <c r="C231" s="25">
        <v>1</v>
      </c>
      <c r="D231" s="25">
        <v>1</v>
      </c>
      <c r="E231" s="12">
        <f>C231*D231*1/2.8</f>
        <v>0.35714285714285715</v>
      </c>
      <c r="F231" s="32">
        <f>C231*D231*1/0.95</f>
        <v>1.0526315789473684</v>
      </c>
      <c r="G231" s="12">
        <f>D231</f>
        <v>1</v>
      </c>
      <c r="H231" s="12">
        <f>1.23+(C231*D231*2.05/1)</f>
        <v>3.28</v>
      </c>
      <c r="I231" s="12">
        <f>C231*0.1875</f>
        <v>0.1875</v>
      </c>
      <c r="J231" s="2">
        <f>D231</f>
        <v>1</v>
      </c>
      <c r="K231" s="2">
        <f>D231*1/18</f>
        <v>5.5555555555555552E-2</v>
      </c>
      <c r="L231" s="2">
        <f>D231*4/1</f>
        <v>4</v>
      </c>
    </row>
    <row r="233" spans="2:13" x14ac:dyDescent="0.25">
      <c r="B233" s="12" t="s">
        <v>239</v>
      </c>
      <c r="C233" s="25">
        <v>1</v>
      </c>
      <c r="D233" s="25">
        <v>1</v>
      </c>
      <c r="E233" s="12">
        <f>(C233*D233*1/2.8)/2</f>
        <v>0.17857142857142858</v>
      </c>
      <c r="F233" s="32">
        <f>(C233*D233*1/0.95)/2</f>
        <v>0.52631578947368418</v>
      </c>
      <c r="I233" s="12">
        <f>C233*0.1875</f>
        <v>0.1875</v>
      </c>
      <c r="M233" s="2">
        <f>C233*D233*0.067/2.8</f>
        <v>2.3928571428571431E-2</v>
      </c>
    </row>
    <row r="235" spans="2:13" x14ac:dyDescent="0.25">
      <c r="B235" s="12" t="s">
        <v>240</v>
      </c>
      <c r="C235" s="25">
        <v>1</v>
      </c>
      <c r="D235" s="25">
        <v>1</v>
      </c>
      <c r="E235" s="12">
        <f>(C235*D235*1/2.8)/2</f>
        <v>0.17857142857142858</v>
      </c>
      <c r="F235" s="32">
        <f>(C235*D235*1/0.95)*2</f>
        <v>2.1052631578947367</v>
      </c>
      <c r="I235" s="12">
        <f>C235*0.1875</f>
        <v>0.1875</v>
      </c>
      <c r="M235" s="2">
        <f>C235*D235*0.067/2.8</f>
        <v>2.3928571428571431E-2</v>
      </c>
    </row>
    <row r="237" spans="2:13" x14ac:dyDescent="0.25">
      <c r="B237" s="12" t="s">
        <v>241</v>
      </c>
      <c r="C237" s="25">
        <v>1</v>
      </c>
      <c r="D237" s="25">
        <v>1</v>
      </c>
      <c r="E237" s="12">
        <f>(C237*D237*1/2.8)/2</f>
        <v>0.17857142857142858</v>
      </c>
      <c r="F237" s="32">
        <f>(C237*D237*1/0.95)/2</f>
        <v>0.52631578947368418</v>
      </c>
      <c r="I237" s="12">
        <f>C237*0.1875</f>
        <v>0.1875</v>
      </c>
      <c r="M237" s="2">
        <f>C237*D237*0.067/2.8</f>
        <v>2.3928571428571431E-2</v>
      </c>
    </row>
    <row r="239" spans="2:13" x14ac:dyDescent="0.25">
      <c r="B239" s="7" t="s">
        <v>242</v>
      </c>
      <c r="C239" s="7"/>
      <c r="D239" s="7"/>
      <c r="E239" s="7"/>
      <c r="F239" s="7"/>
      <c r="G239" s="7"/>
      <c r="H239" s="45"/>
      <c r="I239" s="45"/>
      <c r="J239" s="7"/>
      <c r="K239" s="7"/>
    </row>
    <row r="240" spans="2:13" ht="25" customHeight="1" x14ac:dyDescent="0.25">
      <c r="B240" s="12" t="s">
        <v>199</v>
      </c>
      <c r="C240" s="12" t="s">
        <v>200</v>
      </c>
      <c r="D240" s="12" t="s">
        <v>243</v>
      </c>
      <c r="E240" s="12" t="s">
        <v>201</v>
      </c>
      <c r="F240" s="32" t="s">
        <v>202</v>
      </c>
      <c r="G240" s="42" t="s">
        <v>244</v>
      </c>
      <c r="H240" s="14" t="s">
        <v>205</v>
      </c>
      <c r="I240" s="14" t="s">
        <v>245</v>
      </c>
      <c r="J240" s="2" t="s">
        <v>246</v>
      </c>
      <c r="K240" s="2" t="s">
        <v>224</v>
      </c>
    </row>
    <row r="241" spans="1:11" x14ac:dyDescent="0.25">
      <c r="B241" s="12" t="s">
        <v>247</v>
      </c>
      <c r="C241" s="25">
        <v>1</v>
      </c>
      <c r="D241" s="12" t="s">
        <v>226</v>
      </c>
      <c r="E241" s="12">
        <f>C241*1/2.8</f>
        <v>0.35714285714285715</v>
      </c>
      <c r="F241" s="12">
        <f>C241*1/0.95</f>
        <v>1.0526315789473684</v>
      </c>
      <c r="G241" s="12">
        <f>C241*0.83/1</f>
        <v>0.83</v>
      </c>
      <c r="H241" s="12">
        <f>C241*0.1875</f>
        <v>0.1875</v>
      </c>
      <c r="J241" s="2">
        <f>C241*1.13/1</f>
        <v>1.1299999999999999</v>
      </c>
      <c r="K241" s="2">
        <f>C241*1.85/1</f>
        <v>1.85</v>
      </c>
    </row>
    <row r="242" spans="1:11" x14ac:dyDescent="0.25">
      <c r="B242" s="12" t="s">
        <v>248</v>
      </c>
      <c r="D242" s="25">
        <v>1</v>
      </c>
      <c r="E242" s="12">
        <f>(D242*1/2.8)*0.18</f>
        <v>6.4285714285714279E-2</v>
      </c>
      <c r="F242" s="12">
        <f>(D242*1/0.95)*0.18</f>
        <v>0.18947368421052629</v>
      </c>
      <c r="G242" s="12">
        <f>D242*0.1/1</f>
        <v>0.1</v>
      </c>
      <c r="H242" s="12">
        <f>C242*0.1875*0.3</f>
        <v>0</v>
      </c>
    </row>
    <row r="243" spans="1:11" x14ac:dyDescent="0.25">
      <c r="B243" s="16" t="s">
        <v>249</v>
      </c>
      <c r="C243" s="23"/>
      <c r="D243" s="23"/>
      <c r="E243" s="23">
        <f>SUM(E241:E242)</f>
        <v>0.42142857142857143</v>
      </c>
      <c r="F243" s="23">
        <f t="shared" ref="F243:G243" si="0">SUM(F241:F242)</f>
        <v>1.2421052631578946</v>
      </c>
      <c r="G243" s="23">
        <f t="shared" si="0"/>
        <v>0.92999999999999994</v>
      </c>
      <c r="H243" s="23">
        <f>SUM(H241:H242)</f>
        <v>0.1875</v>
      </c>
    </row>
    <row r="244" spans="1:11" x14ac:dyDescent="0.25">
      <c r="B244" s="16"/>
      <c r="D244" s="12">
        <v>1</v>
      </c>
    </row>
    <row r="245" spans="1:11" x14ac:dyDescent="0.25">
      <c r="B245" s="7" t="s">
        <v>250</v>
      </c>
      <c r="C245" s="7"/>
      <c r="D245" s="7"/>
      <c r="E245" s="7"/>
      <c r="F245" s="7"/>
      <c r="G245" s="7"/>
      <c r="H245" s="45"/>
      <c r="I245" s="45"/>
      <c r="J245" s="7"/>
      <c r="K245" s="7"/>
    </row>
    <row r="246" spans="1:11" ht="25" customHeight="1" x14ac:dyDescent="0.25">
      <c r="B246" s="12" t="s">
        <v>251</v>
      </c>
      <c r="C246" s="12" t="s">
        <v>252</v>
      </c>
      <c r="D246" s="12" t="s">
        <v>253</v>
      </c>
      <c r="E246" s="12" t="s">
        <v>254</v>
      </c>
      <c r="F246" s="12" t="s">
        <v>201</v>
      </c>
      <c r="G246" s="32" t="s">
        <v>202</v>
      </c>
      <c r="H246" s="14" t="s">
        <v>255</v>
      </c>
      <c r="I246" s="14" t="s">
        <v>256</v>
      </c>
      <c r="J246" s="3" t="s">
        <v>215</v>
      </c>
      <c r="K246" s="3" t="s">
        <v>257</v>
      </c>
    </row>
    <row r="247" spans="1:11" x14ac:dyDescent="0.25">
      <c r="B247" s="12" t="s">
        <v>258</v>
      </c>
      <c r="C247" s="25">
        <v>1</v>
      </c>
      <c r="D247" s="25">
        <v>5</v>
      </c>
      <c r="F247" s="12">
        <f>((C247+0.45)*D247)*0.69/2.8</f>
        <v>1.7866071428571428</v>
      </c>
      <c r="G247" s="12">
        <f>((C247+0.45)*D247)*0.69/0.95</f>
        <v>5.2657894736842099</v>
      </c>
      <c r="H247" s="12">
        <f>(((C247+0.45)*D247)*0.69)*0.1875</f>
        <v>0.93796874999999991</v>
      </c>
      <c r="I247" s="12">
        <f>((C247+0.45)*D247)*0.69/2.8</f>
        <v>1.7866071428571428</v>
      </c>
    </row>
    <row r="249" spans="1:11" x14ac:dyDescent="0.25">
      <c r="B249" s="12" t="s">
        <v>259</v>
      </c>
      <c r="C249" s="25">
        <v>1</v>
      </c>
      <c r="D249" s="25">
        <v>1</v>
      </c>
      <c r="F249" s="12">
        <f>((C249+0.45)*D249)*0.45/2.8</f>
        <v>0.23303571428571429</v>
      </c>
      <c r="G249" s="12">
        <f>((C249+0.45)*D249)*0.45/0.95</f>
        <v>0.68684210526315792</v>
      </c>
      <c r="H249" s="12">
        <f>(((C249+0.45)*D249)*0.69)*0.1875</f>
        <v>0.18759375</v>
      </c>
      <c r="I249" s="12">
        <f>((C249+0.45)*D249)*0.69/2.8</f>
        <v>0.35732142857142857</v>
      </c>
    </row>
    <row r="251" spans="1:11" x14ac:dyDescent="0.25">
      <c r="B251" s="23" t="s">
        <v>260</v>
      </c>
    </row>
    <row r="252" spans="1:11" x14ac:dyDescent="0.25">
      <c r="B252" s="12" t="s">
        <v>261</v>
      </c>
      <c r="C252" s="25">
        <v>1</v>
      </c>
      <c r="D252" s="25">
        <v>1</v>
      </c>
      <c r="E252" s="12">
        <f>((C252+0.45)*D252)</f>
        <v>1.45</v>
      </c>
      <c r="J252" s="2">
        <f>((C252+0.45)*D252)/70</f>
        <v>2.0714285714285713E-2</v>
      </c>
      <c r="K252" s="2">
        <f>(J252*2)/3.6</f>
        <v>1.1507936507936507E-2</v>
      </c>
    </row>
    <row r="254" spans="1:11" x14ac:dyDescent="0.25">
      <c r="A254" s="12">
        <v>9</v>
      </c>
      <c r="B254" s="15" t="s">
        <v>262</v>
      </c>
    </row>
    <row r="255" spans="1:11" x14ac:dyDescent="0.25">
      <c r="C255" s="7" t="s">
        <v>263</v>
      </c>
      <c r="D255" s="7"/>
    </row>
    <row r="256" spans="1:11" x14ac:dyDescent="0.25">
      <c r="C256" s="12" t="s">
        <v>131</v>
      </c>
      <c r="D256" s="12" t="s">
        <v>132</v>
      </c>
    </row>
    <row r="257" spans="1:8" x14ac:dyDescent="0.25">
      <c r="C257" s="24"/>
      <c r="D257" s="24"/>
    </row>
    <row r="258" spans="1:8" x14ac:dyDescent="0.25">
      <c r="C258" s="9" t="s">
        <v>7</v>
      </c>
      <c r="D258" s="8"/>
    </row>
    <row r="259" spans="1:8" x14ac:dyDescent="0.25">
      <c r="C259" s="8" t="s">
        <v>8</v>
      </c>
      <c r="D259" s="8"/>
    </row>
    <row r="260" spans="1:8" x14ac:dyDescent="0.25">
      <c r="C260" s="5"/>
      <c r="D260" s="6"/>
    </row>
    <row r="263" spans="1:8" ht="110" x14ac:dyDescent="0.25">
      <c r="B263" s="12" t="s">
        <v>264</v>
      </c>
      <c r="C263" s="12" t="s">
        <v>265</v>
      </c>
      <c r="D263" s="12" t="s">
        <v>266</v>
      </c>
      <c r="E263" s="12" t="s">
        <v>267</v>
      </c>
      <c r="F263" s="12" t="s">
        <v>268</v>
      </c>
      <c r="G263" s="14" t="s">
        <v>256</v>
      </c>
      <c r="H263" s="14" t="s">
        <v>269</v>
      </c>
    </row>
    <row r="264" spans="1:8" x14ac:dyDescent="0.25">
      <c r="B264" s="12" t="s">
        <v>270</v>
      </c>
      <c r="C264" s="25">
        <v>1</v>
      </c>
      <c r="D264" s="12">
        <f>C264*10</f>
        <v>10</v>
      </c>
      <c r="E264" s="12">
        <f>D264/39</f>
        <v>0.25641025641025639</v>
      </c>
      <c r="F264" s="12">
        <f>C264*0.129</f>
        <v>0.129</v>
      </c>
      <c r="G264" s="12">
        <f>C264</f>
        <v>1</v>
      </c>
      <c r="H264" s="12">
        <f>D264/100</f>
        <v>0.1</v>
      </c>
    </row>
    <row r="266" spans="1:8" x14ac:dyDescent="0.25">
      <c r="B266" s="12" t="s">
        <v>271</v>
      </c>
      <c r="C266" s="25">
        <v>1</v>
      </c>
      <c r="D266" s="12">
        <f>C266*10</f>
        <v>10</v>
      </c>
      <c r="E266" s="12">
        <f>D266/40</f>
        <v>0.25</v>
      </c>
      <c r="F266" s="12">
        <f>C266*0.126</f>
        <v>0.126</v>
      </c>
      <c r="G266" s="12">
        <f>C266</f>
        <v>1</v>
      </c>
      <c r="H266" s="12">
        <f>D266/110</f>
        <v>9.0909090909090912E-2</v>
      </c>
    </row>
    <row r="268" spans="1:8" ht="66" x14ac:dyDescent="0.25">
      <c r="B268" s="12" t="s">
        <v>272</v>
      </c>
      <c r="C268" s="12" t="s">
        <v>265</v>
      </c>
      <c r="D268" s="12" t="s">
        <v>273</v>
      </c>
      <c r="E268" s="14" t="s">
        <v>274</v>
      </c>
      <c r="F268" s="14"/>
    </row>
    <row r="269" spans="1:8" x14ac:dyDescent="0.25">
      <c r="B269" s="12" t="s">
        <v>275</v>
      </c>
      <c r="C269" s="25"/>
      <c r="D269" s="12">
        <f>C269*11</f>
        <v>0</v>
      </c>
      <c r="E269" s="12">
        <f>D269*20</f>
        <v>0</v>
      </c>
    </row>
    <row r="272" spans="1:8" x14ac:dyDescent="0.25">
      <c r="A272" s="12">
        <v>10</v>
      </c>
      <c r="B272" s="15" t="s">
        <v>276</v>
      </c>
    </row>
    <row r="273" spans="1:8" x14ac:dyDescent="0.25">
      <c r="C273" s="7" t="s">
        <v>277</v>
      </c>
      <c r="D273" s="7"/>
    </row>
    <row r="274" spans="1:8" x14ac:dyDescent="0.25">
      <c r="C274" s="12" t="s">
        <v>131</v>
      </c>
      <c r="D274" s="12" t="s">
        <v>132</v>
      </c>
    </row>
    <row r="275" spans="1:8" x14ac:dyDescent="0.25">
      <c r="C275" s="24"/>
      <c r="D275" s="24"/>
    </row>
    <row r="276" spans="1:8" x14ac:dyDescent="0.25">
      <c r="C276" s="9" t="s">
        <v>7</v>
      </c>
      <c r="D276" s="8"/>
    </row>
    <row r="277" spans="1:8" x14ac:dyDescent="0.25">
      <c r="C277" s="8" t="s">
        <v>8</v>
      </c>
      <c r="D277" s="8"/>
    </row>
    <row r="278" spans="1:8" x14ac:dyDescent="0.25">
      <c r="C278" s="5"/>
      <c r="D278" s="6"/>
    </row>
    <row r="281" spans="1:8" ht="88" x14ac:dyDescent="0.25">
      <c r="B281" s="12" t="s">
        <v>278</v>
      </c>
      <c r="C281" s="12" t="s">
        <v>265</v>
      </c>
      <c r="D281" s="12" t="s">
        <v>267</v>
      </c>
      <c r="E281" s="12" t="s">
        <v>268</v>
      </c>
      <c r="F281" s="14" t="s">
        <v>256</v>
      </c>
      <c r="G281" s="14" t="s">
        <v>269</v>
      </c>
      <c r="H281" s="12" t="s">
        <v>60</v>
      </c>
    </row>
    <row r="282" spans="1:8" x14ac:dyDescent="0.25">
      <c r="B282" s="12" t="s">
        <v>279</v>
      </c>
      <c r="C282" s="25">
        <v>1</v>
      </c>
      <c r="D282" s="12">
        <f>C282*0.19</f>
        <v>0.19</v>
      </c>
      <c r="E282" s="12">
        <f>C282*0.063</f>
        <v>6.3E-2</v>
      </c>
      <c r="F282" s="12">
        <f>C282</f>
        <v>1</v>
      </c>
      <c r="G282" s="12">
        <f>C282/20</f>
        <v>0.05</v>
      </c>
      <c r="H282" s="12" t="s">
        <v>280</v>
      </c>
    </row>
    <row r="284" spans="1:8" x14ac:dyDescent="0.25">
      <c r="B284" s="12" t="s">
        <v>281</v>
      </c>
      <c r="C284" s="25">
        <v>1</v>
      </c>
      <c r="D284" s="12">
        <f>C284*0.16</f>
        <v>0.16</v>
      </c>
      <c r="E284" s="12">
        <f>C284*0.068</f>
        <v>6.8000000000000005E-2</v>
      </c>
      <c r="F284" s="12">
        <f>C284</f>
        <v>1</v>
      </c>
      <c r="G284" s="12">
        <f>C284/20</f>
        <v>0.05</v>
      </c>
      <c r="H284" s="12" t="str">
        <f>H282</f>
        <v xml:space="preserve">Headpans, Shovels and standing platform </v>
      </c>
    </row>
    <row r="287" spans="1:8" x14ac:dyDescent="0.25">
      <c r="A287" s="12">
        <v>11</v>
      </c>
      <c r="B287" s="15" t="s">
        <v>282</v>
      </c>
    </row>
    <row r="288" spans="1:8" x14ac:dyDescent="0.25">
      <c r="C288" s="7" t="s">
        <v>283</v>
      </c>
      <c r="D288" s="7"/>
    </row>
    <row r="289" spans="2:9" x14ac:dyDescent="0.25">
      <c r="C289" s="12" t="s">
        <v>131</v>
      </c>
      <c r="D289" s="12" t="s">
        <v>132</v>
      </c>
    </row>
    <row r="290" spans="2:9" x14ac:dyDescent="0.25">
      <c r="C290" s="24"/>
      <c r="D290" s="24"/>
    </row>
    <row r="291" spans="2:9" x14ac:dyDescent="0.25">
      <c r="C291" s="9" t="s">
        <v>7</v>
      </c>
      <c r="D291" s="8"/>
    </row>
    <row r="292" spans="2:9" x14ac:dyDescent="0.25">
      <c r="C292" s="8" t="s">
        <v>8</v>
      </c>
      <c r="D292" s="8"/>
    </row>
    <row r="293" spans="2:9" x14ac:dyDescent="0.25">
      <c r="C293" s="5"/>
      <c r="D293" s="6"/>
    </row>
    <row r="295" spans="2:9" x14ac:dyDescent="0.25">
      <c r="B295" s="7" t="s">
        <v>284</v>
      </c>
      <c r="C295" s="7"/>
      <c r="D295" s="7"/>
      <c r="E295" s="7"/>
      <c r="F295" s="7"/>
      <c r="G295" s="7"/>
      <c r="H295" s="45"/>
      <c r="I295" s="45"/>
    </row>
    <row r="296" spans="2:9" ht="66" x14ac:dyDescent="0.25">
      <c r="B296" s="12" t="s">
        <v>285</v>
      </c>
      <c r="C296" s="11" t="s">
        <v>286</v>
      </c>
      <c r="D296" s="11" t="s">
        <v>287</v>
      </c>
      <c r="E296" s="14" t="s">
        <v>288</v>
      </c>
      <c r="F296" s="11" t="s">
        <v>289</v>
      </c>
      <c r="G296" s="11" t="str">
        <f>F302</f>
        <v>labour requirement (per m2)</v>
      </c>
      <c r="H296" s="14" t="s">
        <v>290</v>
      </c>
      <c r="I296" s="11" t="s">
        <v>92</v>
      </c>
    </row>
    <row r="297" spans="2:9" x14ac:dyDescent="0.25">
      <c r="B297" s="12" t="s">
        <v>291</v>
      </c>
      <c r="C297" s="25">
        <v>1</v>
      </c>
      <c r="D297" s="12">
        <f>C297*1/40</f>
        <v>2.5000000000000001E-2</v>
      </c>
      <c r="E297" s="12">
        <f>C297*1/30</f>
        <v>3.3333333333333333E-2</v>
      </c>
      <c r="F297" s="12">
        <f>C297*0.16666666667</f>
        <v>0.16666666666999999</v>
      </c>
      <c r="G297" s="12">
        <f>C297</f>
        <v>1</v>
      </c>
      <c r="H297" s="12">
        <f>C297*1/90</f>
        <v>1.1111111111111112E-2</v>
      </c>
      <c r="I297" s="12" t="s">
        <v>292</v>
      </c>
    </row>
    <row r="298" spans="2:9" x14ac:dyDescent="0.25">
      <c r="C298" s="32"/>
    </row>
    <row r="299" spans="2:9" x14ac:dyDescent="0.25">
      <c r="B299" s="12" t="s">
        <v>293</v>
      </c>
      <c r="C299" s="25">
        <v>1</v>
      </c>
      <c r="D299" s="12">
        <f>C299*1/30</f>
        <v>3.3333333333333333E-2</v>
      </c>
      <c r="E299" s="12">
        <f>C299*1/25</f>
        <v>0.04</v>
      </c>
      <c r="F299" s="12">
        <f>C299*0.2</f>
        <v>0.2</v>
      </c>
      <c r="G299" s="12">
        <f>C299</f>
        <v>1</v>
      </c>
      <c r="H299" s="12">
        <f>C299*1/90</f>
        <v>1.1111111111111112E-2</v>
      </c>
      <c r="I299" s="12" t="s">
        <v>292</v>
      </c>
    </row>
    <row r="301" spans="2:9" x14ac:dyDescent="0.25">
      <c r="B301" s="7" t="s">
        <v>294</v>
      </c>
      <c r="C301" s="7"/>
      <c r="D301" s="7"/>
      <c r="E301" s="7"/>
      <c r="F301" s="7"/>
      <c r="G301" s="7"/>
      <c r="H301" s="45"/>
    </row>
    <row r="302" spans="2:9" ht="66" x14ac:dyDescent="0.25">
      <c r="B302" s="12" t="s">
        <v>295</v>
      </c>
      <c r="C302" s="12" t="s">
        <v>265</v>
      </c>
      <c r="D302" s="12" t="s">
        <v>267</v>
      </c>
      <c r="E302" s="12" t="s">
        <v>268</v>
      </c>
      <c r="F302" s="14" t="s">
        <v>256</v>
      </c>
      <c r="G302" s="14" t="s">
        <v>296</v>
      </c>
      <c r="H302" s="12" t="s">
        <v>297</v>
      </c>
    </row>
    <row r="303" spans="2:9" x14ac:dyDescent="0.25">
      <c r="B303" s="12" t="s">
        <v>281</v>
      </c>
      <c r="C303" s="25">
        <v>1</v>
      </c>
      <c r="D303" s="12">
        <f>C303*0.38</f>
        <v>0.38</v>
      </c>
      <c r="E303" s="12">
        <f>C303*0.068</f>
        <v>6.8000000000000005E-2</v>
      </c>
      <c r="F303" s="12">
        <f>C303</f>
        <v>1</v>
      </c>
      <c r="G303" s="12">
        <f>C303/30</f>
        <v>3.3333333333333333E-2</v>
      </c>
      <c r="H303" s="12" t="s">
        <v>298</v>
      </c>
    </row>
    <row r="305" spans="1:9" x14ac:dyDescent="0.25">
      <c r="B305" s="12" t="s">
        <v>299</v>
      </c>
      <c r="C305" s="25">
        <v>1</v>
      </c>
      <c r="D305" s="12">
        <f>C305*0.35</f>
        <v>0.35</v>
      </c>
      <c r="E305" s="12">
        <f>C305*0.072</f>
        <v>7.1999999999999995E-2</v>
      </c>
      <c r="F305" s="12">
        <f>C305</f>
        <v>1</v>
      </c>
      <c r="G305" s="12">
        <f>C305/30</f>
        <v>3.3333333333333333E-2</v>
      </c>
      <c r="H305" s="12" t="s">
        <v>298</v>
      </c>
    </row>
    <row r="307" spans="1:9" x14ac:dyDescent="0.25">
      <c r="A307" s="12">
        <v>12</v>
      </c>
      <c r="B307" s="15" t="s">
        <v>300</v>
      </c>
    </row>
    <row r="308" spans="1:9" x14ac:dyDescent="0.25">
      <c r="C308" s="7" t="s">
        <v>301</v>
      </c>
      <c r="D308" s="7"/>
    </row>
    <row r="309" spans="1:9" x14ac:dyDescent="0.25">
      <c r="C309" s="12" t="s">
        <v>131</v>
      </c>
      <c r="D309" s="12" t="s">
        <v>132</v>
      </c>
    </row>
    <row r="310" spans="1:9" x14ac:dyDescent="0.25">
      <c r="C310" s="24"/>
      <c r="D310" s="24"/>
    </row>
    <row r="311" spans="1:9" x14ac:dyDescent="0.25">
      <c r="C311" s="9" t="s">
        <v>7</v>
      </c>
      <c r="D311" s="8"/>
    </row>
    <row r="312" spans="1:9" x14ac:dyDescent="0.25">
      <c r="C312" s="8" t="s">
        <v>8</v>
      </c>
      <c r="D312" s="8"/>
    </row>
    <row r="313" spans="1:9" x14ac:dyDescent="0.25">
      <c r="C313" s="5"/>
      <c r="D313" s="6"/>
    </row>
    <row r="315" spans="1:9" x14ac:dyDescent="0.25">
      <c r="B315" s="7" t="s">
        <v>302</v>
      </c>
      <c r="C315" s="7"/>
      <c r="D315" s="7"/>
      <c r="E315" s="7"/>
      <c r="F315" s="7"/>
      <c r="G315" s="7"/>
      <c r="H315" s="45"/>
      <c r="I315" s="45"/>
    </row>
    <row r="316" spans="1:9" ht="66" x14ac:dyDescent="0.25">
      <c r="B316" s="12" t="s">
        <v>303</v>
      </c>
      <c r="C316" s="11" t="s">
        <v>286</v>
      </c>
      <c r="D316" s="11" t="s">
        <v>304</v>
      </c>
      <c r="E316" s="14" t="s">
        <v>305</v>
      </c>
      <c r="F316" s="14" t="s">
        <v>306</v>
      </c>
      <c r="G316" s="11" t="s">
        <v>92</v>
      </c>
    </row>
    <row r="317" spans="1:9" x14ac:dyDescent="0.25">
      <c r="B317" s="12" t="s">
        <v>307</v>
      </c>
      <c r="C317" s="33">
        <v>10</v>
      </c>
      <c r="D317" s="12">
        <f>C317*1/13</f>
        <v>0.76923076923076927</v>
      </c>
      <c r="E317" s="12">
        <f>C317</f>
        <v>10</v>
      </c>
      <c r="F317" s="14">
        <f>C317/108</f>
        <v>9.2592592592592587E-2</v>
      </c>
      <c r="G317" s="43" t="s">
        <v>308</v>
      </c>
    </row>
    <row r="318" spans="1:9" x14ac:dyDescent="0.25">
      <c r="C318" s="11"/>
      <c r="D318" s="11"/>
      <c r="E318" s="11"/>
      <c r="F318" s="14"/>
      <c r="G318" s="11"/>
    </row>
    <row r="319" spans="1:9" x14ac:dyDescent="0.25">
      <c r="B319" s="12" t="s">
        <v>309</v>
      </c>
      <c r="C319" s="25">
        <v>1</v>
      </c>
      <c r="D319" s="12">
        <f>C319*1/18</f>
        <v>5.5555555555555552E-2</v>
      </c>
      <c r="E319" s="12">
        <f>C319</f>
        <v>1</v>
      </c>
      <c r="F319" s="14">
        <f>C319/108</f>
        <v>9.2592592592592587E-3</v>
      </c>
      <c r="G319" s="12" t="s">
        <v>310</v>
      </c>
    </row>
    <row r="321" spans="2:7" x14ac:dyDescent="0.25">
      <c r="B321" s="12" t="s">
        <v>311</v>
      </c>
      <c r="C321" s="25">
        <v>1</v>
      </c>
      <c r="D321" s="12">
        <f>C321*1/16</f>
        <v>6.25E-2</v>
      </c>
      <c r="E321" s="12">
        <f>C321</f>
        <v>1</v>
      </c>
      <c r="F321" s="14">
        <f>C321/93</f>
        <v>1.0752688172043012E-2</v>
      </c>
      <c r="G321" s="12" t="s">
        <v>310</v>
      </c>
    </row>
    <row r="323" spans="2:7" x14ac:dyDescent="0.25">
      <c r="B323" s="12" t="s">
        <v>312</v>
      </c>
      <c r="C323" s="25">
        <v>1</v>
      </c>
      <c r="D323" s="12">
        <f>C323*1/14</f>
        <v>7.1428571428571425E-2</v>
      </c>
      <c r="E323" s="12">
        <f>C323</f>
        <v>1</v>
      </c>
      <c r="F323" s="14">
        <f>C323/73</f>
        <v>1.3698630136986301E-2</v>
      </c>
      <c r="G323" s="12" t="s">
        <v>310</v>
      </c>
    </row>
    <row r="325" spans="2:7" x14ac:dyDescent="0.25">
      <c r="B325" s="12" t="s">
        <v>313</v>
      </c>
      <c r="C325" s="25">
        <v>1</v>
      </c>
      <c r="D325" s="12">
        <f>C325*1/12</f>
        <v>8.3333333333333329E-2</v>
      </c>
      <c r="E325" s="12">
        <f>C325</f>
        <v>1</v>
      </c>
      <c r="F325" s="14">
        <f>C325/108</f>
        <v>9.2592592592592587E-3</v>
      </c>
      <c r="G325" s="12" t="s">
        <v>310</v>
      </c>
    </row>
    <row r="327" spans="2:7" x14ac:dyDescent="0.25">
      <c r="B327" s="12" t="s">
        <v>314</v>
      </c>
      <c r="C327" s="25">
        <v>1</v>
      </c>
      <c r="D327" s="12">
        <f>C327*1/10</f>
        <v>0.1</v>
      </c>
      <c r="E327" s="12">
        <f>C327</f>
        <v>1</v>
      </c>
      <c r="F327" s="14">
        <f>C327/93</f>
        <v>1.0752688172043012E-2</v>
      </c>
      <c r="G327" s="12" t="s">
        <v>310</v>
      </c>
    </row>
    <row r="329" spans="2:7" x14ac:dyDescent="0.25">
      <c r="B329" s="12" t="s">
        <v>315</v>
      </c>
      <c r="C329" s="25">
        <v>1</v>
      </c>
      <c r="D329" s="12">
        <f>C329*1/8</f>
        <v>0.125</v>
      </c>
      <c r="E329" s="12">
        <f>C329</f>
        <v>1</v>
      </c>
      <c r="F329" s="14">
        <f>C329/73</f>
        <v>1.3698630136986301E-2</v>
      </c>
      <c r="G329" s="12" t="s">
        <v>310</v>
      </c>
    </row>
    <row r="331" spans="2:7" x14ac:dyDescent="0.25">
      <c r="B331" s="12" t="s">
        <v>316</v>
      </c>
      <c r="C331" s="25">
        <v>1</v>
      </c>
      <c r="D331" s="12">
        <f>C331*1/1.7</f>
        <v>0.58823529411764708</v>
      </c>
      <c r="E331" s="12">
        <f>C331</f>
        <v>1</v>
      </c>
      <c r="F331" s="14">
        <f>C331/108</f>
        <v>9.2592592592592587E-3</v>
      </c>
      <c r="G331" s="12" t="s">
        <v>310</v>
      </c>
    </row>
    <row r="333" spans="2:7" x14ac:dyDescent="0.25">
      <c r="B333" s="12" t="s">
        <v>317</v>
      </c>
      <c r="C333" s="25">
        <v>1</v>
      </c>
      <c r="D333" s="12">
        <f>C333*1/1.5</f>
        <v>0.66666666666666663</v>
      </c>
      <c r="E333" s="12">
        <f>C333</f>
        <v>1</v>
      </c>
      <c r="F333" s="14">
        <f>C333/93</f>
        <v>1.0752688172043012E-2</v>
      </c>
      <c r="G333" s="12" t="s">
        <v>310</v>
      </c>
    </row>
    <row r="335" spans="2:7" x14ac:dyDescent="0.25">
      <c r="B335" s="12" t="s">
        <v>318</v>
      </c>
      <c r="C335" s="25">
        <v>1</v>
      </c>
      <c r="D335" s="12">
        <f>C335*1/1.2</f>
        <v>0.83333333333333337</v>
      </c>
      <c r="E335" s="12">
        <f>C335</f>
        <v>1</v>
      </c>
      <c r="F335" s="14">
        <f>C335/73</f>
        <v>1.3698630136986301E-2</v>
      </c>
      <c r="G335" s="12" t="s">
        <v>310</v>
      </c>
    </row>
    <row r="337" spans="1:9" x14ac:dyDescent="0.25">
      <c r="B337" s="12" t="s">
        <v>319</v>
      </c>
      <c r="C337" s="25">
        <v>1</v>
      </c>
      <c r="D337" s="12">
        <f>C337*1/10</f>
        <v>0.1</v>
      </c>
      <c r="E337" s="12">
        <f>C337</f>
        <v>1</v>
      </c>
      <c r="F337" s="14">
        <f>C337/108</f>
        <v>9.2592592592592587E-3</v>
      </c>
      <c r="G337" s="12" t="s">
        <v>320</v>
      </c>
    </row>
    <row r="339" spans="1:9" x14ac:dyDescent="0.25">
      <c r="B339" s="12" t="s">
        <v>321</v>
      </c>
      <c r="C339" s="25">
        <v>1</v>
      </c>
      <c r="D339" s="12">
        <f>C339*1/8</f>
        <v>0.125</v>
      </c>
      <c r="E339" s="12">
        <f>C339</f>
        <v>1</v>
      </c>
      <c r="F339" s="14">
        <f>C339/93</f>
        <v>1.0752688172043012E-2</v>
      </c>
      <c r="G339" s="12" t="s">
        <v>320</v>
      </c>
    </row>
    <row r="341" spans="1:9" x14ac:dyDescent="0.25">
      <c r="B341" s="12" t="s">
        <v>321</v>
      </c>
      <c r="C341" s="25">
        <v>1</v>
      </c>
      <c r="D341" s="12">
        <f>C341*1/6</f>
        <v>0.16666666666666666</v>
      </c>
      <c r="E341" s="12">
        <f>C341</f>
        <v>1</v>
      </c>
      <c r="F341" s="14">
        <f>C341/73</f>
        <v>1.3698630136986301E-2</v>
      </c>
      <c r="G341" s="12" t="s">
        <v>320</v>
      </c>
    </row>
    <row r="344" spans="1:9" x14ac:dyDescent="0.25">
      <c r="A344" s="12">
        <v>13</v>
      </c>
      <c r="B344" s="15" t="s">
        <v>322</v>
      </c>
    </row>
    <row r="345" spans="1:9" x14ac:dyDescent="0.25">
      <c r="C345" s="7" t="s">
        <v>323</v>
      </c>
      <c r="D345" s="7"/>
    </row>
    <row r="346" spans="1:9" x14ac:dyDescent="0.25">
      <c r="C346" s="12" t="s">
        <v>131</v>
      </c>
      <c r="D346" s="12" t="s">
        <v>132</v>
      </c>
    </row>
    <row r="347" spans="1:9" x14ac:dyDescent="0.25">
      <c r="C347" s="24"/>
      <c r="D347" s="24"/>
    </row>
    <row r="348" spans="1:9" x14ac:dyDescent="0.25">
      <c r="C348" s="9" t="s">
        <v>7</v>
      </c>
      <c r="D348" s="8"/>
    </row>
    <row r="349" spans="1:9" x14ac:dyDescent="0.25">
      <c r="C349" s="8" t="s">
        <v>8</v>
      </c>
      <c r="D349" s="8"/>
    </row>
    <row r="350" spans="1:9" x14ac:dyDescent="0.25">
      <c r="C350" s="5"/>
      <c r="D350" s="6"/>
    </row>
    <row r="352" spans="1:9" x14ac:dyDescent="0.25">
      <c r="B352" s="7" t="s">
        <v>324</v>
      </c>
      <c r="C352" s="7"/>
      <c r="D352" s="7"/>
      <c r="E352" s="7"/>
      <c r="F352" s="7"/>
      <c r="G352" s="7"/>
      <c r="H352" s="45"/>
      <c r="I352" s="45"/>
    </row>
    <row r="353" spans="1:9" ht="88" x14ac:dyDescent="0.25">
      <c r="B353" s="12" t="s">
        <v>325</v>
      </c>
      <c r="C353" s="11" t="s">
        <v>286</v>
      </c>
      <c r="D353" s="11" t="s">
        <v>326</v>
      </c>
      <c r="E353" s="14" t="s">
        <v>287</v>
      </c>
      <c r="F353" s="14" t="s">
        <v>327</v>
      </c>
      <c r="G353" s="11" t="str">
        <f>G296</f>
        <v>labour requirement (per m2)</v>
      </c>
      <c r="H353" s="13" t="s">
        <v>328</v>
      </c>
      <c r="I353" s="12" t="s">
        <v>121</v>
      </c>
    </row>
    <row r="354" spans="1:9" x14ac:dyDescent="0.25">
      <c r="B354" s="12" t="s">
        <v>329</v>
      </c>
      <c r="C354" s="25">
        <v>1</v>
      </c>
      <c r="D354" s="12">
        <f>C354*1.12</f>
        <v>1.1200000000000001</v>
      </c>
      <c r="E354" s="12">
        <f>C354*1.1</f>
        <v>1.1000000000000001</v>
      </c>
      <c r="F354" s="12">
        <v>0</v>
      </c>
      <c r="G354" s="12">
        <f>C354</f>
        <v>1</v>
      </c>
      <c r="H354" s="12">
        <f>C354/15</f>
        <v>6.6666666666666666E-2</v>
      </c>
      <c r="I354" s="12" t="s">
        <v>330</v>
      </c>
    </row>
    <row r="356" spans="1:9" x14ac:dyDescent="0.25">
      <c r="B356" s="12" t="s">
        <v>331</v>
      </c>
      <c r="C356" s="25">
        <v>1</v>
      </c>
      <c r="D356" s="12">
        <f>C356*1.12</f>
        <v>1.1200000000000001</v>
      </c>
      <c r="E356" s="12">
        <f>C356*0.07</f>
        <v>7.0000000000000007E-2</v>
      </c>
      <c r="F356" s="12">
        <v>0</v>
      </c>
      <c r="G356" s="12">
        <f>C356</f>
        <v>1</v>
      </c>
      <c r="H356" s="12">
        <f>C356/25</f>
        <v>0.04</v>
      </c>
      <c r="I356" s="12" t="s">
        <v>330</v>
      </c>
    </row>
    <row r="358" spans="1:9" x14ac:dyDescent="0.25">
      <c r="B358" s="12" t="s">
        <v>332</v>
      </c>
      <c r="C358" s="25">
        <v>1</v>
      </c>
      <c r="D358" s="12">
        <f>C358</f>
        <v>1</v>
      </c>
      <c r="E358" s="12">
        <f>C358*0.08</f>
        <v>0.08</v>
      </c>
      <c r="F358" s="12">
        <v>0</v>
      </c>
      <c r="G358" s="12">
        <f>C358</f>
        <v>1</v>
      </c>
      <c r="H358" s="12">
        <f>C358/25</f>
        <v>0.04</v>
      </c>
      <c r="I358" s="12" t="s">
        <v>333</v>
      </c>
    </row>
    <row r="360" spans="1:9" x14ac:dyDescent="0.25">
      <c r="B360" s="12" t="s">
        <v>334</v>
      </c>
      <c r="C360" s="25">
        <v>1</v>
      </c>
      <c r="D360" s="12">
        <f>C360*1.12</f>
        <v>1.1200000000000001</v>
      </c>
      <c r="E360" s="12">
        <f>C360*1.1</f>
        <v>1.1000000000000001</v>
      </c>
      <c r="F360" s="12">
        <v>0</v>
      </c>
      <c r="G360" s="12">
        <f>C360</f>
        <v>1</v>
      </c>
      <c r="H360" s="12">
        <f>C360/15</f>
        <v>6.6666666666666666E-2</v>
      </c>
      <c r="I360" s="12" t="s">
        <v>330</v>
      </c>
    </row>
    <row r="362" spans="1:9" x14ac:dyDescent="0.25">
      <c r="B362" s="12" t="s">
        <v>335</v>
      </c>
      <c r="C362" s="25">
        <v>1</v>
      </c>
      <c r="D362" s="12">
        <f>C362*1.1</f>
        <v>1.1000000000000001</v>
      </c>
      <c r="E362" s="12">
        <v>0</v>
      </c>
      <c r="F362" s="12">
        <f>D362*1.1</f>
        <v>1.2100000000000002</v>
      </c>
      <c r="G362" s="12">
        <f>C362</f>
        <v>1</v>
      </c>
      <c r="H362" s="12">
        <f>C362/23</f>
        <v>4.3478260869565216E-2</v>
      </c>
      <c r="I362" s="12" t="s">
        <v>336</v>
      </c>
    </row>
    <row r="365" spans="1:9" x14ac:dyDescent="0.25">
      <c r="A365" s="12">
        <v>14</v>
      </c>
      <c r="B365" s="15" t="s">
        <v>337</v>
      </c>
      <c r="F365" s="12" t="s">
        <v>338</v>
      </c>
    </row>
    <row r="366" spans="1:9" x14ac:dyDescent="0.25">
      <c r="C366" s="7" t="s">
        <v>339</v>
      </c>
      <c r="D366" s="7"/>
    </row>
    <row r="367" spans="1:9" x14ac:dyDescent="0.25">
      <c r="C367" s="12" t="s">
        <v>131</v>
      </c>
      <c r="D367" s="12" t="s">
        <v>132</v>
      </c>
    </row>
    <row r="368" spans="1:9" x14ac:dyDescent="0.25">
      <c r="C368" s="24"/>
      <c r="D368" s="24"/>
    </row>
    <row r="369" spans="1:9" x14ac:dyDescent="0.25">
      <c r="C369" s="9" t="s">
        <v>7</v>
      </c>
      <c r="D369" s="8"/>
    </row>
    <row r="370" spans="1:9" x14ac:dyDescent="0.25">
      <c r="C370" s="8" t="s">
        <v>8</v>
      </c>
      <c r="D370" s="8"/>
    </row>
    <row r="371" spans="1:9" x14ac:dyDescent="0.25">
      <c r="C371" s="5"/>
      <c r="D371" s="6"/>
    </row>
    <row r="373" spans="1:9" x14ac:dyDescent="0.25">
      <c r="B373" s="7" t="s">
        <v>337</v>
      </c>
      <c r="C373" s="7"/>
      <c r="D373" s="7"/>
      <c r="E373" s="7"/>
      <c r="F373" s="7"/>
      <c r="G373" s="7"/>
      <c r="H373" s="45"/>
      <c r="I373" s="45"/>
    </row>
    <row r="374" spans="1:9" ht="66" x14ac:dyDescent="0.25">
      <c r="B374" s="12" t="s">
        <v>340</v>
      </c>
      <c r="C374" s="11" t="s">
        <v>286</v>
      </c>
      <c r="D374" s="11" t="s">
        <v>326</v>
      </c>
      <c r="E374" s="14" t="s">
        <v>341</v>
      </c>
      <c r="F374" s="14" t="str">
        <f>G353</f>
        <v>labour requirement (per m2)</v>
      </c>
      <c r="G374" s="11" t="s">
        <v>121</v>
      </c>
    </row>
    <row r="375" spans="1:9" x14ac:dyDescent="0.25">
      <c r="B375" s="12" t="s">
        <v>342</v>
      </c>
      <c r="C375" s="25">
        <v>10</v>
      </c>
      <c r="D375" s="12">
        <f>C375*1.1</f>
        <v>11</v>
      </c>
      <c r="E375" s="12">
        <f>(C375*1/4)*1.05</f>
        <v>2.625</v>
      </c>
      <c r="G375" s="12" t="s">
        <v>333</v>
      </c>
    </row>
    <row r="377" spans="1:9" x14ac:dyDescent="0.25">
      <c r="A377" s="12">
        <v>15</v>
      </c>
      <c r="B377" s="15" t="s">
        <v>343</v>
      </c>
      <c r="F377" s="12" t="s">
        <v>338</v>
      </c>
    </row>
    <row r="378" spans="1:9" x14ac:dyDescent="0.25">
      <c r="C378" s="7" t="s">
        <v>344</v>
      </c>
      <c r="D378" s="7"/>
    </row>
    <row r="379" spans="1:9" x14ac:dyDescent="0.25">
      <c r="C379" s="12" t="s">
        <v>131</v>
      </c>
      <c r="D379" s="12" t="s">
        <v>132</v>
      </c>
    </row>
    <row r="380" spans="1:9" x14ac:dyDescent="0.25">
      <c r="C380" s="24"/>
      <c r="D380" s="24"/>
    </row>
    <row r="381" spans="1:9" x14ac:dyDescent="0.25">
      <c r="C381" s="9" t="s">
        <v>7</v>
      </c>
      <c r="D381" s="8"/>
    </row>
    <row r="382" spans="1:9" x14ac:dyDescent="0.25">
      <c r="C382" s="8" t="s">
        <v>8</v>
      </c>
      <c r="D382" s="8"/>
    </row>
    <row r="383" spans="1:9" x14ac:dyDescent="0.25">
      <c r="C383" s="5"/>
      <c r="D383" s="6"/>
    </row>
    <row r="385" spans="1:13" x14ac:dyDescent="0.25">
      <c r="B385" s="7" t="s">
        <v>344</v>
      </c>
      <c r="C385" s="7"/>
      <c r="D385" s="7"/>
      <c r="E385" s="7"/>
      <c r="F385" s="7"/>
      <c r="G385" s="7"/>
      <c r="H385" s="45"/>
      <c r="I385" s="45"/>
    </row>
    <row r="386" spans="1:13" x14ac:dyDescent="0.25">
      <c r="B386" s="7" t="str">
        <f>B387</f>
        <v xml:space="preserve">Suspended Ceiling (Plaster Board) </v>
      </c>
      <c r="C386" s="7"/>
      <c r="D386" s="7"/>
      <c r="E386" s="7"/>
      <c r="F386" s="7"/>
      <c r="G386" s="7"/>
      <c r="H386" s="45"/>
      <c r="I386" s="21"/>
    </row>
    <row r="387" spans="1:13" s="3" customFormat="1" ht="66" x14ac:dyDescent="0.25">
      <c r="A387" s="14"/>
      <c r="B387" s="14" t="s">
        <v>345</v>
      </c>
      <c r="C387" s="14" t="s">
        <v>134</v>
      </c>
      <c r="D387" s="14" t="s">
        <v>346</v>
      </c>
      <c r="E387" s="14" t="s">
        <v>347</v>
      </c>
      <c r="F387" s="14" t="s">
        <v>348</v>
      </c>
      <c r="G387" s="14" t="s">
        <v>349</v>
      </c>
      <c r="H387" s="14" t="str">
        <f>G353</f>
        <v>labour requirement (per m2)</v>
      </c>
      <c r="I387" s="14" t="s">
        <v>92</v>
      </c>
    </row>
    <row r="388" spans="1:13" x14ac:dyDescent="0.25">
      <c r="B388" s="12" t="s">
        <v>350</v>
      </c>
      <c r="C388" s="25">
        <v>1</v>
      </c>
      <c r="D388" s="12">
        <f>C388*1/3.3</f>
        <v>0.30303030303030304</v>
      </c>
      <c r="E388" s="12">
        <f>C388*5/5</f>
        <v>1</v>
      </c>
      <c r="F388" s="12">
        <f>E388*3/5</f>
        <v>0.6</v>
      </c>
      <c r="G388" s="12">
        <f>C388*5/5</f>
        <v>1</v>
      </c>
      <c r="H388" s="12">
        <f>C388</f>
        <v>1</v>
      </c>
      <c r="I388" s="12" t="s">
        <v>351</v>
      </c>
    </row>
    <row r="389" spans="1:13" x14ac:dyDescent="0.25">
      <c r="B389" s="12" t="s">
        <v>352</v>
      </c>
      <c r="C389" s="25">
        <v>1</v>
      </c>
      <c r="D389" s="12">
        <f>C389*1/2.5</f>
        <v>0.4</v>
      </c>
      <c r="E389" s="12">
        <f>C389*5/5</f>
        <v>1</v>
      </c>
      <c r="F389" s="12">
        <f>E389*3/5</f>
        <v>0.6</v>
      </c>
      <c r="G389" s="12">
        <f>C389*5/5</f>
        <v>1</v>
      </c>
      <c r="H389" s="12">
        <f>C389</f>
        <v>1</v>
      </c>
      <c r="I389" s="12" t="s">
        <v>351</v>
      </c>
    </row>
    <row r="390" spans="1:13" x14ac:dyDescent="0.25">
      <c r="B390" s="12" t="s">
        <v>353</v>
      </c>
      <c r="C390" s="25">
        <v>1</v>
      </c>
      <c r="D390" s="12">
        <f>C390*1/2.8</f>
        <v>0.35714285714285715</v>
      </c>
      <c r="E390" s="12">
        <f>C390*5/5</f>
        <v>1</v>
      </c>
      <c r="F390" s="12">
        <f>E390*3/5</f>
        <v>0.6</v>
      </c>
      <c r="G390" s="12">
        <f>C390*5/5</f>
        <v>1</v>
      </c>
      <c r="H390" s="12">
        <f>C390</f>
        <v>1</v>
      </c>
      <c r="I390" s="12" t="s">
        <v>351</v>
      </c>
    </row>
    <row r="392" spans="1:13" x14ac:dyDescent="0.25">
      <c r="B392" s="7" t="str">
        <f>B393</f>
        <v xml:space="preserve">Suspended ceiling (60x 60cm) with steel runners </v>
      </c>
      <c r="C392" s="7"/>
      <c r="D392" s="7"/>
      <c r="E392" s="7"/>
      <c r="F392" s="7"/>
      <c r="G392" s="7"/>
      <c r="H392" s="45"/>
      <c r="I392" s="45"/>
      <c r="J392" s="7"/>
      <c r="K392" s="7"/>
    </row>
    <row r="393" spans="1:13" s="3" customFormat="1" ht="66" x14ac:dyDescent="0.25">
      <c r="A393" s="14"/>
      <c r="B393" s="14" t="s">
        <v>354</v>
      </c>
      <c r="C393" s="14" t="s">
        <v>134</v>
      </c>
      <c r="D393" s="14" t="s">
        <v>346</v>
      </c>
      <c r="E393" s="14" t="s">
        <v>355</v>
      </c>
      <c r="F393" s="14" t="s">
        <v>356</v>
      </c>
      <c r="G393" s="14" t="s">
        <v>357</v>
      </c>
      <c r="H393" s="14" t="s">
        <v>358</v>
      </c>
      <c r="I393" s="14" t="s">
        <v>359</v>
      </c>
      <c r="J393" s="3" t="s">
        <v>360</v>
      </c>
      <c r="K393" s="3" t="s">
        <v>361</v>
      </c>
      <c r="L393" s="3" t="str">
        <f>H387</f>
        <v>labour requirement (per m2)</v>
      </c>
      <c r="M393" s="3" t="s">
        <v>92</v>
      </c>
    </row>
    <row r="394" spans="1:13" x14ac:dyDescent="0.25">
      <c r="B394" s="12" t="s">
        <v>362</v>
      </c>
      <c r="C394" s="25">
        <v>1</v>
      </c>
      <c r="D394" s="12">
        <f>C394*2.78</f>
        <v>2.78</v>
      </c>
      <c r="E394" s="12">
        <f>C394*0.05</f>
        <v>0.05</v>
      </c>
      <c r="F394" s="12">
        <f>C394*1/5</f>
        <v>0.2</v>
      </c>
      <c r="G394" s="12">
        <f>C394*1/5</f>
        <v>0.2</v>
      </c>
      <c r="H394" s="12">
        <f>C394*7/5</f>
        <v>1.4</v>
      </c>
      <c r="I394" s="12">
        <f>C394*7/5</f>
        <v>1.4</v>
      </c>
      <c r="J394" s="2">
        <f>C394*4/5</f>
        <v>0.8</v>
      </c>
      <c r="K394" s="2">
        <f>C394*1/5</f>
        <v>0.2</v>
      </c>
      <c r="L394" s="2">
        <f>C394</f>
        <v>1</v>
      </c>
      <c r="M394" s="2" t="s">
        <v>351</v>
      </c>
    </row>
    <row r="396" spans="1:13" x14ac:dyDescent="0.25">
      <c r="B396" s="7" t="s">
        <v>363</v>
      </c>
      <c r="C396" s="7"/>
      <c r="D396" s="7"/>
      <c r="E396" s="7"/>
      <c r="F396" s="7"/>
      <c r="G396" s="7"/>
      <c r="H396" s="45"/>
      <c r="I396" s="45"/>
      <c r="J396" s="7"/>
    </row>
    <row r="397" spans="1:13" s="3" customFormat="1" ht="66" x14ac:dyDescent="0.25">
      <c r="A397" s="14"/>
      <c r="B397" s="14" t="s">
        <v>364</v>
      </c>
      <c r="C397" s="14" t="s">
        <v>134</v>
      </c>
      <c r="D397" s="14" t="s">
        <v>365</v>
      </c>
      <c r="E397" s="14" t="s">
        <v>366</v>
      </c>
      <c r="F397" s="14" t="s">
        <v>367</v>
      </c>
      <c r="G397" s="14" t="s">
        <v>368</v>
      </c>
      <c r="H397" s="14" t="s">
        <v>369</v>
      </c>
      <c r="I397" s="14" t="s">
        <v>370</v>
      </c>
      <c r="J397" s="3" t="str">
        <f>L393</f>
        <v>labour requirement (per m2)</v>
      </c>
      <c r="K397" s="3" t="s">
        <v>92</v>
      </c>
    </row>
    <row r="398" spans="1:13" x14ac:dyDescent="0.25">
      <c r="B398" s="12" t="s">
        <v>371</v>
      </c>
      <c r="C398" s="25">
        <v>1</v>
      </c>
      <c r="D398" s="12">
        <f>C398*0.42</f>
        <v>0.42</v>
      </c>
      <c r="E398" s="12">
        <f>C398*0.5</f>
        <v>0.5</v>
      </c>
      <c r="F398" s="12">
        <f>C398*0.03</f>
        <v>0.03</v>
      </c>
      <c r="G398" s="12">
        <f>C398*0.06</f>
        <v>0.06</v>
      </c>
      <c r="H398" s="12">
        <f>C398*0.0042</f>
        <v>4.1999999999999997E-3</v>
      </c>
      <c r="I398" s="12">
        <f>C398*0.04</f>
        <v>0.04</v>
      </c>
      <c r="J398" s="2">
        <f>C398</f>
        <v>1</v>
      </c>
      <c r="K398" s="2" t="s">
        <v>351</v>
      </c>
    </row>
  </sheetData>
  <mergeCells count="71">
    <mergeCell ref="C38:E38"/>
    <mergeCell ref="C3:D3"/>
    <mergeCell ref="C6:D6"/>
    <mergeCell ref="C7:D7"/>
    <mergeCell ref="C8:D8"/>
    <mergeCell ref="C35:E35"/>
    <mergeCell ref="D128:E128"/>
    <mergeCell ref="C62:E62"/>
    <mergeCell ref="C65:E65"/>
    <mergeCell ref="C92:E92"/>
    <mergeCell ref="C95:E95"/>
    <mergeCell ref="D102:E102"/>
    <mergeCell ref="I102:K102"/>
    <mergeCell ref="C121:D121"/>
    <mergeCell ref="C124:D124"/>
    <mergeCell ref="C125:D125"/>
    <mergeCell ref="C126:D126"/>
    <mergeCell ref="F102:G102"/>
    <mergeCell ref="B214:K214"/>
    <mergeCell ref="C134:D134"/>
    <mergeCell ref="B145:H145"/>
    <mergeCell ref="B154:H154"/>
    <mergeCell ref="B159:H159"/>
    <mergeCell ref="B167:H167"/>
    <mergeCell ref="B173:H173"/>
    <mergeCell ref="C188:D188"/>
    <mergeCell ref="C191:D191"/>
    <mergeCell ref="C192:D192"/>
    <mergeCell ref="C193:D193"/>
    <mergeCell ref="B208:K208"/>
    <mergeCell ref="C278:D278"/>
    <mergeCell ref="B220:K220"/>
    <mergeCell ref="B225:K225"/>
    <mergeCell ref="B239:K239"/>
    <mergeCell ref="B245:K245"/>
    <mergeCell ref="C255:D255"/>
    <mergeCell ref="C258:D258"/>
    <mergeCell ref="C259:D259"/>
    <mergeCell ref="C260:D260"/>
    <mergeCell ref="C273:D273"/>
    <mergeCell ref="C276:D276"/>
    <mergeCell ref="C277:D277"/>
    <mergeCell ref="C345:D345"/>
    <mergeCell ref="C288:D288"/>
    <mergeCell ref="C291:D291"/>
    <mergeCell ref="C292:D292"/>
    <mergeCell ref="C293:D293"/>
    <mergeCell ref="B295:I295"/>
    <mergeCell ref="B301:H301"/>
    <mergeCell ref="C308:D308"/>
    <mergeCell ref="C311:D311"/>
    <mergeCell ref="C312:D312"/>
    <mergeCell ref="C313:D313"/>
    <mergeCell ref="B315:I315"/>
    <mergeCell ref="C382:D382"/>
    <mergeCell ref="C348:D348"/>
    <mergeCell ref="C349:D349"/>
    <mergeCell ref="C350:D350"/>
    <mergeCell ref="B352:I352"/>
    <mergeCell ref="C366:D366"/>
    <mergeCell ref="C369:D369"/>
    <mergeCell ref="C370:D370"/>
    <mergeCell ref="C371:D371"/>
    <mergeCell ref="B373:I373"/>
    <mergeCell ref="C378:D378"/>
    <mergeCell ref="C381:D381"/>
    <mergeCell ref="C383:D383"/>
    <mergeCell ref="B385:I385"/>
    <mergeCell ref="B386:H386"/>
    <mergeCell ref="B392:K392"/>
    <mergeCell ref="B396:J396"/>
  </mergeCells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2020-01-19T22:06:42Z</dcterms:created>
  <dcterms:modified xsi:type="dcterms:W3CDTF">2020-04-23T14:37:26Z</dcterms:modified>
</cp:coreProperties>
</file>